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harts/chart1.xml" ContentType="application/vnd.openxmlformats-officedocument.drawingml.chart+xml"/>
  <Override PartName="/xl/drawings/drawing4.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5.xml" ContentType="application/vnd.openxmlformats-officedocument.drawing+xml"/>
  <Override PartName="/xl/comments7.xml" ContentType="application/vnd.openxmlformats-officedocument.spreadsheetml.comments+xml"/>
  <Override PartName="/xl/drawings/drawing6.xml" ContentType="application/vnd.openxmlformats-officedocument.drawing+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drawings/drawing7.xml" ContentType="application/vnd.openxmlformats-officedocument.drawing+xml"/>
  <Override PartName="/xl/ctrlProps/ctrlProp8.xml" ContentType="application/vnd.ms-excel.controlpropertie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drawings/drawing8.xml" ContentType="application/vnd.openxmlformats-officedocument.drawing+xml"/>
  <Override PartName="/xl/comments18.xml" ContentType="application/vnd.openxmlformats-officedocument.spreadsheetml.comments+xml"/>
  <Override PartName="/xl/comments19.xml" ContentType="application/vnd.openxmlformats-officedocument.spreadsheetml.comments+xml"/>
  <Override PartName="/xl/drawings/drawing9.xml" ContentType="application/vnd.openxmlformats-officedocument.drawing+xml"/>
  <Override PartName="/xl/ctrlProps/ctrlProp9.xml" ContentType="application/vnd.ms-excel.controlpropertie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omments36.xml" ContentType="application/vnd.openxmlformats-officedocument.spreadsheetml.comments+xml"/>
  <Override PartName="/xl/comments37.xml" ContentType="application/vnd.openxmlformats-officedocument.spreadsheetml.comments+xml"/>
  <Override PartName="/xl/comments38.xml" ContentType="application/vnd.openxmlformats-officedocument.spreadsheetml.comments+xml"/>
  <Override PartName="/xl/comments39.xml" ContentType="application/vnd.openxmlformats-officedocument.spreadsheetml.comments+xml"/>
  <Override PartName="/xl/comments40.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G:\.shortcut-targets-by-id\1AKqN-OuiIs1andewmt7uvMbPK78VKM9D\05 Du toan GXD\12 Mau Du toan\87.Dutoan+Banve-DonGia-DenBu-SonLa\1.NHA XAY\"/>
    </mc:Choice>
  </mc:AlternateContent>
  <bookViews>
    <workbookView xWindow="-105" yWindow="-105" windowWidth="23250" windowHeight="12570" tabRatio="903" firstSheet="2" activeTab="2"/>
  </bookViews>
  <sheets>
    <sheet name="Config" sheetId="67" state="hidden" r:id="rId1"/>
    <sheet name="Data" sheetId="76" state="hidden" r:id="rId2"/>
    <sheet name="Ts" sheetId="5" r:id="rId3"/>
    <sheet name="Bia-TMDT" sheetId="82" state="hidden" r:id="rId4"/>
    <sheet name="TMDT" sheetId="85" state="hidden" r:id="rId5"/>
    <sheet name="DT PA boi thuong" sheetId="86" state="hidden" r:id="rId6"/>
    <sheet name="TMDT-GTH" sheetId="83" state="hidden" r:id="rId7"/>
    <sheet name="TMDT-SVDT" sheetId="84" r:id="rId8"/>
    <sheet name="DMTL" sheetId="8" r:id="rId9"/>
    <sheet name="Bia-Dutoan" sheetId="2" r:id="rId10"/>
    <sheet name="Bia-DTXD" sheetId="58" r:id="rId11"/>
    <sheet name="TM" sheetId="3" r:id="rId12"/>
    <sheet name="BC tham dinh" sheetId="78" state="hidden" r:id="rId13"/>
    <sheet name="BC tham tra" sheetId="40" state="hidden" r:id="rId14"/>
    <sheet name="TH DTXD" sheetId="6" r:id="rId15"/>
    <sheet name="THCP tu van" sheetId="56" state="hidden" r:id="rId16"/>
    <sheet name="DT man-month" sheetId="59" state="hidden" r:id="rId17"/>
    <sheet name="Cp chuyen gia" sheetId="60" state="hidden" r:id="rId18"/>
    <sheet name="Tienluong" sheetId="61" state="hidden" r:id="rId19"/>
    <sheet name="CPK TV" sheetId="62" state="hidden" r:id="rId20"/>
    <sheet name="Tien do TV" sheetId="68" state="hidden" r:id="rId21"/>
    <sheet name="THCP khac" sheetId="57" state="hidden" r:id="rId22"/>
    <sheet name="THDT goi thau XD" sheetId="43" state="hidden" r:id="rId23"/>
    <sheet name="CP Du phong" sheetId="7" state="hidden" r:id="rId24"/>
    <sheet name="THCP xay dung" sheetId="9" r:id="rId25"/>
    <sheet name="Don gia tong hop" sheetId="65" state="hidden" r:id="rId26"/>
    <sheet name="Du toan XD" sheetId="10" r:id="rId27"/>
    <sheet name="Don gia XD" sheetId="13" r:id="rId28"/>
    <sheet name="TH vat tu XD" sheetId="46" r:id="rId29"/>
    <sheet name="Dich thuat" sheetId="77" state="hidden" r:id="rId30"/>
    <sheet name="Thong ke thep" sheetId="51" state="hidden" r:id="rId31"/>
    <sheet name="Gia vua XD" sheetId="15" state="hidden" r:id="rId32"/>
    <sheet name="Gia vat lieu HTXD" sheetId="14" r:id="rId33"/>
    <sheet name="Nhan cong XD" sheetId="16" r:id="rId34"/>
    <sheet name="Gia ca may XD" sheetId="17" r:id="rId35"/>
    <sheet name="Du thau XD" sheetId="19" state="hidden" r:id="rId36"/>
    <sheet name="Xet thau XD" sheetId="80" state="hidden" r:id="rId37"/>
    <sheet name="Bia-DTTB" sheetId="48" state="hidden" r:id="rId38"/>
    <sheet name="THDT goi thau TB" sheetId="44" state="hidden" r:id="rId39"/>
    <sheet name="THCP thiet bi" sheetId="23" state="hidden" r:id="rId40"/>
    <sheet name="MS TBVT-TN" sheetId="24" state="hidden" r:id="rId41"/>
    <sheet name="MS TBVT-NN" sheetId="79" state="hidden" r:id="rId42"/>
    <sheet name="Tho lai may" sheetId="42" r:id="rId43"/>
    <sheet name="CP ban quyen CN" sheetId="74" state="hidden" r:id="rId44"/>
    <sheet name="CP dao tao" sheetId="25" state="hidden" r:id="rId45"/>
    <sheet name="CP chay thu TB" sheetId="75" state="hidden" r:id="rId46"/>
    <sheet name="CP Thi nghiem TB" sheetId="71" state="hidden" r:id="rId47"/>
    <sheet name="THCP Lap dat" sheetId="26" state="hidden" r:id="rId48"/>
    <sheet name="Du toan LD" sheetId="27" state="hidden" r:id="rId49"/>
    <sheet name="Don gia LD" sheetId="30" state="hidden" r:id="rId50"/>
    <sheet name="TH vat tu LD" sheetId="29" state="hidden" r:id="rId51"/>
    <sheet name="Gia vua LD" sheetId="32" state="hidden" r:id="rId52"/>
    <sheet name="Gia vat lieu HTLD" sheetId="31" state="hidden" r:id="rId53"/>
    <sheet name="Nhan cong LD" sheetId="33" state="hidden" r:id="rId54"/>
    <sheet name="Gia ca may LD" sheetId="34" state="hidden" r:id="rId55"/>
    <sheet name="Du thau LD" sheetId="36" state="hidden" r:id="rId56"/>
    <sheet name="Xet thau LD" sheetId="81" state="hidden" r:id="rId57"/>
  </sheets>
  <functionGroups builtInGroupCount="18"/>
  <definedNames>
    <definedName name="__a129" hidden="1">{"Offgrid",#N/A,FALSE,"OFFGRID";"Region",#N/A,FALSE,"REGION";"Offgrid -2",#N/A,FALSE,"OFFGRID";"WTP",#N/A,FALSE,"WTP";"WTP -2",#N/A,FALSE,"WTP";"Project",#N/A,FALSE,"PROJECT";"Summary -2",#N/A,FALSE,"SUMMARY"}</definedName>
    <definedName name="__a130" hidden="1">{"Offgrid",#N/A,FALSE,"OFFGRID";"Region",#N/A,FALSE,"REGION";"Offgrid -2",#N/A,FALSE,"OFFGRID";"WTP",#N/A,FALSE,"WTP";"WTP -2",#N/A,FALSE,"WTP";"Project",#N/A,FALSE,"PROJECT";"Summary -2",#N/A,FALSE,"SUMMARY"}</definedName>
    <definedName name="_a1" localSheetId="5" hidden="1">{"'Sheet1'!$L$16"}</definedName>
    <definedName name="_a1" hidden="1">{"'Sheet1'!$L$16"}</definedName>
    <definedName name="_a129" localSheetId="5" hidden="1">{"Offgrid",#N/A,FALSE,"OFFGRID";"Region",#N/A,FALSE,"REGION";"Offgrid -2",#N/A,FALSE,"OFFGRID";"WTP",#N/A,FALSE,"WTP";"WTP -2",#N/A,FALSE,"WTP";"Project",#N/A,FALSE,"PROJECT";"Summary -2",#N/A,FALSE,"SUMMARY"}</definedName>
    <definedName name="_a129" hidden="1">{"Offgrid",#N/A,FALSE,"OFFGRID";"Region",#N/A,FALSE,"REGION";"Offgrid -2",#N/A,FALSE,"OFFGRID";"WTP",#N/A,FALSE,"WTP";"WTP -2",#N/A,FALSE,"WTP";"Project",#N/A,FALSE,"PROJECT";"Summary -2",#N/A,FALSE,"SUMMARY"}</definedName>
    <definedName name="_a130" localSheetId="5"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localSheetId="5" hidden="1">#REF!</definedName>
    <definedName name="_Fill" hidden="1">#REF!</definedName>
    <definedName name="_xlnm._FilterDatabase" localSheetId="17" hidden="1">'Cp chuyen gia'!$I$1:$I$14</definedName>
    <definedName name="_xlnm._FilterDatabase" localSheetId="49" hidden="1">'Don gia LD'!$B$6:$M$7</definedName>
    <definedName name="_xlnm._FilterDatabase" localSheetId="27" hidden="1">'Don gia XD'!$B$6:$M$6</definedName>
    <definedName name="_xlnm._FilterDatabase" localSheetId="5" hidden="1">#REF!</definedName>
    <definedName name="_xlnm._FilterDatabase" localSheetId="52" hidden="1">'Gia vat lieu HTLD'!$A$7:$BA$8</definedName>
    <definedName name="_xlnm._FilterDatabase" localSheetId="32" hidden="1">'Gia vat lieu HTXD'!#REF!</definedName>
    <definedName name="_xlnm._FilterDatabase" localSheetId="33" hidden="1">'Nhan cong XD'!$A$5:$H$6</definedName>
    <definedName name="_xlnm._FilterDatabase" localSheetId="50" hidden="1">'TH vat tu LD'!$A$6:$I$7</definedName>
    <definedName name="_xlnm._FilterDatabase" localSheetId="28" hidden="1">'TH vat tu XD'!$A$6:$I$6</definedName>
    <definedName name="_xlnm._FilterDatabase" localSheetId="42" hidden="1">'Tho lai may'!$A$5:$F$6</definedName>
    <definedName name="_xlnm._FilterDatabase" localSheetId="7" hidden="1">'TMDT-SVDT'!$D$1:$D$289</definedName>
    <definedName name="_xlnm._FilterDatabase" hidden="1">#REF!</definedName>
    <definedName name="_Goi8" localSheetId="5" hidden="1">{"'Sheet1'!$L$16"}</definedName>
    <definedName name="_Goi8" hidden="1">{"'Sheet1'!$L$16"}</definedName>
    <definedName name="_h1" localSheetId="5" hidden="1">{"'Sheet1'!$L$16"}</definedName>
    <definedName name="_h1" hidden="1">{"'Sheet1'!$L$16"}</definedName>
    <definedName name="_hu1" localSheetId="5" hidden="1">{"'Sheet1'!$L$16"}</definedName>
    <definedName name="_hu1" hidden="1">{"'Sheet1'!$L$16"}</definedName>
    <definedName name="_hu2" localSheetId="5" hidden="1">{"'Sheet1'!$L$16"}</definedName>
    <definedName name="_hu2" hidden="1">{"'Sheet1'!$L$16"}</definedName>
    <definedName name="_hu5" localSheetId="5" hidden="1">{"'Sheet1'!$L$16"}</definedName>
    <definedName name="_hu5" hidden="1">{"'Sheet1'!$L$16"}</definedName>
    <definedName name="_hu6" localSheetId="5" hidden="1">{"'Sheet1'!$L$16"}</definedName>
    <definedName name="_hu6" hidden="1">{"'Sheet1'!$L$16"}</definedName>
    <definedName name="_HUY123" localSheetId="5" hidden="1">{"'Sheet1'!$L$16"}</definedName>
    <definedName name="_HUY123" hidden="1">{"'Sheet1'!$L$16"}</definedName>
    <definedName name="_Key1" localSheetId="5" hidden="1">#REF!</definedName>
    <definedName name="_Key1" hidden="1">#REF!</definedName>
    <definedName name="_Key2" localSheetId="5" hidden="1">#REF!</definedName>
    <definedName name="_Key2" hidden="1">#REF!</definedName>
    <definedName name="_Lan1" localSheetId="5" hidden="1">{"'Sheet1'!$L$16"}</definedName>
    <definedName name="_Lan1" hidden="1">{"'Sheet1'!$L$16"}</definedName>
    <definedName name="_list">INDIRECT(Ts!$N$16)</definedName>
    <definedName name="_Order1" hidden="1">255</definedName>
    <definedName name="_Order2" hidden="1">255</definedName>
    <definedName name="_Sort" localSheetId="5" hidden="1">#REF!</definedName>
    <definedName name="_Sort" hidden="1">#REF!</definedName>
    <definedName name="_tt3" localSheetId="5" hidden="1">{"'Sheet1'!$L$16"}</definedName>
    <definedName name="_tt3" hidden="1">{"'Sheet1'!$L$16"}</definedName>
    <definedName name="aaaaaa" hidden="1">{"Offgrid",#N/A,FALSE,"OFFGRID";"Region",#N/A,FALSE,"REGION";"Offgrid -2",#N/A,FALSE,"OFFGRID";"WTP",#N/A,FALSE,"WTP";"WTP -2",#N/A,FALSE,"WTP";"Project",#N/A,FALSE,"PROJECT";"Summary -2",#N/A,FALSE,"SUMMARY"}</definedName>
    <definedName name="AccessDatabase" hidden="1">"C:\My Documents\HAU\Danhsach\List Cpn.mdb"</definedName>
    <definedName name="Actual">(PeriodInActual*('Tien do TV'!$J1&gt;0))*PeriodInPlan</definedName>
    <definedName name="ActualBeyond">PeriodInActual*('Tien do TV'!$J1&gt;0)</definedName>
    <definedName name="anscount" hidden="1">1</definedName>
    <definedName name="asssss" localSheetId="25" hidden="1">{"'Sheet1'!$L$16"}</definedName>
    <definedName name="asssss" localSheetId="5" hidden="1">{"'Sheet1'!$L$16"}</definedName>
    <definedName name="asssss" localSheetId="20" hidden="1">{"'Sheet1'!$L$16"}</definedName>
    <definedName name="asssss" hidden="1">{"'Sheet1'!$L$16"}</definedName>
    <definedName name="banQL" localSheetId="5" hidden="1">{"'Sheet1'!$L$16"}</definedName>
    <definedName name="banQL" hidden="1">{"'Sheet1'!$L$16"}</definedName>
    <definedName name="baocao_">Ts!$L$20</definedName>
    <definedName name="bbbb" hidden="1">{"Offgrid",#N/A,FALSE,"OFFGRID";"Region",#N/A,FALSE,"REGION";"Offgrid -2",#N/A,FALSE,"OFFGRID";"WTP",#N/A,FALSE,"WTP";"WTP -2",#N/A,FALSE,"WTP";"Project",#N/A,FALSE,"PROJECT";"Summary -2",#N/A,FALSE,"SUMMARY"}</definedName>
    <definedName name="Bgiang" localSheetId="5" hidden="1">{"'Sheet1'!$L$16"}</definedName>
    <definedName name="Bgiang" hidden="1">{"'Sheet1'!$L$16"}</definedName>
    <definedName name="BTK">Ts!$L$19</definedName>
    <definedName name="btl" localSheetId="5" hidden="1">{"'Sheet1'!$L$16"}</definedName>
    <definedName name="btl" hidden="1">{"'Sheet1'!$L$16"}</definedName>
    <definedName name="CANON" hidden="1">{"'Sheet1'!$L$16"}</definedName>
    <definedName name="ccc" localSheetId="25" hidden="1">{"'Sheet1'!$L$16"}</definedName>
    <definedName name="ccc" localSheetId="5" hidden="1">{"'Sheet1'!$L$16"}</definedName>
    <definedName name="ccc" localSheetId="20" hidden="1">{"'Sheet1'!$L$16"}</definedName>
    <definedName name="ccc" hidden="1">{"'Sheet1'!$L$16"}</definedName>
    <definedName name="CCT">Ts!$L$18</definedName>
    <definedName name="CF_CHKROUNDDG">Config!$C$105</definedName>
    <definedName name="CF_CHKROUNDKL">Config!$C$106</definedName>
    <definedName name="CF_CPD">Config!$C$79</definedName>
    <definedName name="CF_CPTV">Config!$C$82</definedName>
    <definedName name="CF_DBGVT">Config!$C$96</definedName>
    <definedName name="CF_DGKL">Config!$C$39</definedName>
    <definedName name="CF_DTGT">Config!$C$34</definedName>
    <definedName name="CF_GTHAU">Config!$C$95</definedName>
    <definedName name="CF_HIDE_NCM">Config!$C$80</definedName>
    <definedName name="CF_HSDGCT">Config!$C$109</definedName>
    <definedName name="CF_HSM">Config!$C$38</definedName>
    <definedName name="CF_HSNC">Config!$C$37</definedName>
    <definedName name="CF_HSTT">Config!$AB$1</definedName>
    <definedName name="CF_HSVL">Config!$C$36</definedName>
    <definedName name="CF_LDTR">Config!$B$77</definedName>
    <definedName name="CF_LIST_LCT">INDIRECT(Data!$C$9)</definedName>
    <definedName name="CF_MATL">Config!$C$97</definedName>
    <definedName name="CF_NCPALL">Config!$C$87</definedName>
    <definedName name="CF_NCPK">Config!$C$86</definedName>
    <definedName name="CF_NCPTV">Config!$C$85</definedName>
    <definedName name="CF_ROUNDDG">Config!$C$103</definedName>
    <definedName name="CF_ROUNDKL">Config!$C$104</definedName>
    <definedName name="CF_SLCTTH" localSheetId="0">Config!$C$107</definedName>
    <definedName name="CF_TDGDD">Config!$C$101</definedName>
    <definedName name="CF_TDGDP">Config!$C$98</definedName>
    <definedName name="CF_TDGTH">Config!$C$3</definedName>
    <definedName name="CF_TDNCXD">Config!$C$100</definedName>
    <definedName name="CF_TITILE_MK">Config!$A$46</definedName>
    <definedName name="CF_TITILE_MTC">Config!$A$45</definedName>
    <definedName name="CF_TITILE_NC">Config!$A$44</definedName>
    <definedName name="CF_TITILE_VL">Config!$A$41</definedName>
    <definedName name="CF_TITILE_VLK">Config!$A$43</definedName>
    <definedName name="CF_TITILE_VLP">Config!$A$42</definedName>
    <definedName name="CF_TT">Config!$C$99</definedName>
    <definedName name="CF_TYPE_DG">Config!$C$81</definedName>
    <definedName name="CF_VLHSDMTL">Ts!$S$5:$AB$22</definedName>
    <definedName name="CF1_a129" hidden="1">{"Offgrid",#N/A,FALSE,"OFFGRID";"Region",#N/A,FALSE,"REGION";"Offgrid -2",#N/A,FALSE,"OFFGRID";"WTP",#N/A,FALSE,"WTP";"WTP -2",#N/A,FALSE,"WTP";"Project",#N/A,FALSE,"PROJECT";"Summary -2",#N/A,FALSE,"SUMMARY"}</definedName>
    <definedName name="CFTB_HSTT">Config!$AO$1</definedName>
    <definedName name="chl" localSheetId="5" hidden="1">{"'Sheet1'!$L$16"}</definedName>
    <definedName name="chl" hidden="1">{"'Sheet1'!$L$16"}</definedName>
    <definedName name="chuyen" localSheetId="5" hidden="1">{"'Sheet1'!$L$16"}</definedName>
    <definedName name="chuyen" hidden="1">{"'Sheet1'!$L$16"}</definedName>
    <definedName name="CPDP_B1">'CP Du phong'!$F$89</definedName>
    <definedName name="CPDP_B2">'CP Du phong'!$G$95</definedName>
    <definedName name="CPDP_B3">'CP Du phong'!$F$102</definedName>
    <definedName name="CPDP_B4">'CP Du phong'!$F$141</definedName>
    <definedName name="CPDP_B5">'CP Du phong'!$G$147</definedName>
    <definedName name="CPDP_B6">'CP Du phong'!$F$154</definedName>
    <definedName name="CPDP_B7">'CP Du phong'!$F$190</definedName>
    <definedName name="CPDP_B8">'CP Du phong'!$G$196</definedName>
    <definedName name="CPDP_B9">'CP Du phong'!$F$203</definedName>
    <definedName name="CPDP_BD1">'CP Du phong'!$F$85</definedName>
    <definedName name="CPDP_BD2">'CP Du phong'!$F$137</definedName>
    <definedName name="CPDP_BD3">'CP Du phong'!$F$186</definedName>
    <definedName name="CPDP_CP1">'CP Du phong'!$C$69</definedName>
    <definedName name="CPDP_CP2">'CP Du phong'!$C$121</definedName>
    <definedName name="CPDP_CP3">'CP Du phong'!$C$169</definedName>
    <definedName name="CPDP_GDP1">'CP Du phong'!$D$108</definedName>
    <definedName name="CPDP_GDP2">'CP Du phong'!$D$160</definedName>
    <definedName name="CPDP_GDP3">'CP Du phong'!$D$209</definedName>
    <definedName name="CPDP_PS1">'CP Du phong'!$C$72</definedName>
    <definedName name="CPDP_PS2">'CP Du phong'!$C$124</definedName>
    <definedName name="CPDP_PS3">'CP Du phong'!$C$173</definedName>
    <definedName name="CPMS">'THCP thiet bi'!$E$6</definedName>
    <definedName name="CPMTCgld">IF('THCP Lap dat'!D1=0,"C+CLM",IF('THCP Lap dat'!$D$12&lt;&gt;0,IF('THCP Lap dat'!E1&lt;&gt;0,"C*"&amp;'THCP Lap dat'!D1&amp;"*"&amp;'THCP Lap dat'!E1&amp;"+CLM","C*"&amp;'THCP Lap dat'!D1&amp;"+CLM"),IF('THCP Lap dat'!E1&lt;&gt;0,"C*"&amp;'THCP Lap dat'!D1&amp;"*"&amp;'THCP Lap dat'!E1,"C*"&amp;'THCP Lap dat'!D1)))</definedName>
    <definedName name="CPMTCgxd">IF('THCP xay dung'!D1=0,"C+CLM",IF('THCP xay dung'!$D$12&lt;&gt;0,IF('THCP xay dung'!E1&lt;&gt;0,"C*"&amp;'THCP xay dung'!D1&amp;"*"&amp;'THCP xay dung'!E1&amp;"+CLM","C*"&amp;'THCP xay dung'!D1&amp;"+CLM"),IF('THCP xay dung'!E1&lt;&gt;0,"C*"&amp;'THCP xay dung'!D1&amp;"*"&amp;'THCP xay dung'!E1,"C*"&amp;'THCP xay dung'!D1)))</definedName>
    <definedName name="CPNCgld" localSheetId="25">IF('THCP Lap dat'!D1=0,"B+CLNC",IF('THCP Lap dat'!$D$10&lt;&gt;0,IF('THCP Lap dat'!E1&lt;&gt;0,"B*"&amp;'THCP Lap dat'!D1&amp;"*"&amp;'THCP Lap dat'!E1&amp;"+CLNC","B*"&amp;'THCP Lap dat'!D1&amp;"+CLNC"),IF('THCP Lap dat'!E1&lt;&gt;0,"B*"&amp;'THCP Lap dat'!D1&amp;"*"&amp;'THCP Lap dat'!E1,"B*"&amp;'THCP Lap dat'!D1)))</definedName>
    <definedName name="CPNCgld">IF('THCP Lap dat'!D1=0,"B+CLNC",IF('THCP Lap dat'!$D$10&lt;&gt;0,IF('THCP Lap dat'!E1&lt;&gt;0,"B*"&amp;'THCP Lap dat'!D1&amp;"*"&amp;'THCP Lap dat'!E1&amp;"+CLNC","B*"&amp;'THCP Lap dat'!D1&amp;"+CLNC"),IF('THCP Lap dat'!E1&lt;&gt;0,"B*"&amp;'THCP Lap dat'!D1&amp;"*"&amp;'THCP Lap dat'!E1,"B*"&amp;'THCP Lap dat'!D1)))</definedName>
    <definedName name="CPNCgxd">IF('THCP xay dung'!D1=0,"B+CLNC",IF('THCP xay dung'!$D$10&lt;&gt;0,IF('THCP xay dung'!E1&lt;&gt;0,"B*"&amp;'THCP xay dung'!D1&amp;"*"&amp;'THCP xay dung'!E1&amp;"+CLNC","B*"&amp;'THCP xay dung'!D1&amp;"+CLNC"),IF('THCP xay dung'!E1&lt;&gt;0,"B*"&amp;'THCP xay dung'!D1&amp;"*"&amp;'THCP xay dung'!E1,"B*"&amp;'THCP xay dung'!D1)))</definedName>
    <definedName name="CPTBtt">'TMDT-SVDT'!$P$152</definedName>
    <definedName name="CPVLgld">IF('THCP Lap dat'!D1=0,"A+CLVL",IF('THCP Lap dat'!B1048571=0,"A*"&amp;'THCP Lap dat'!D1,"(A + CLVL) * "&amp;'THCP Lap dat'!D1))</definedName>
    <definedName name="CPXDtt">'TMDT-SVDT'!$P$151</definedName>
    <definedName name="CSPL">'TH DTXD'!$J$5</definedName>
    <definedName name="CTTB_DG">'Don gia LD'!$E$5</definedName>
    <definedName name="CTTB_DGM">'Don gia LD'!$S$5</definedName>
    <definedName name="CTTB_DGNC">'Don gia LD'!$R$5</definedName>
    <definedName name="CTTB_DGVL">'Don gia LD'!$P$5</definedName>
    <definedName name="CTTB_DGVLP">'Don gia LD'!$Q$5</definedName>
    <definedName name="CTTB_DM">'Don gia LD'!$D$5</definedName>
    <definedName name="CTTB_DMHP">'Don gia LD'!$J$5</definedName>
    <definedName name="CTTB_DV">'Don gia LD'!$H$5</definedName>
    <definedName name="CTTB_G">'Don gia LD'!$K$5</definedName>
    <definedName name="CTTB_HPK">'Don gia LD'!$O$5</definedName>
    <definedName name="CTTB_HS">'Don gia LD'!$L$5</definedName>
    <definedName name="CTTB_ID">'Don gia LD'!$A$5</definedName>
    <definedName name="CTTB_KL">'Don gia LD'!$I$5</definedName>
    <definedName name="CTTB_MSVT">'Don gia LD'!$F$5</definedName>
    <definedName name="CTTB_MV">'Don gia LD'!$C$5</definedName>
    <definedName name="CTTB_STT">'Don gia LD'!$B$5</definedName>
    <definedName name="CTTB_TEN">'Don gia LD'!$G$5</definedName>
    <definedName name="CTTB_THP">'Don gia LD'!$N$5</definedName>
    <definedName name="CTTB_TT">'Don gia LD'!$M$5</definedName>
    <definedName name="CTXD_DG">'Don gia XD'!$E$5</definedName>
    <definedName name="CTXD_DGM">'Don gia XD'!$S$5</definedName>
    <definedName name="CTXD_DGNC">'Don gia XD'!$R$5</definedName>
    <definedName name="CTXD_DGVL">'Don gia XD'!$P$5</definedName>
    <definedName name="CTXD_DGVLP">'Don gia XD'!$Q$5</definedName>
    <definedName name="CTXD_DM">'Don gia XD'!$D$5</definedName>
    <definedName name="CTXD_DMHP">'Don gia XD'!$J$5</definedName>
    <definedName name="CTXD_DV">'Don gia XD'!$H$5</definedName>
    <definedName name="CTXD_G">'Don gia XD'!$K$5</definedName>
    <definedName name="CTXD_HPK">'Don gia XD'!$O$5</definedName>
    <definedName name="CTXD_HS">'Don gia XD'!$L$5</definedName>
    <definedName name="CTXD_ID">'Don gia XD'!$A$5</definedName>
    <definedName name="CTXD_KL">'Don gia XD'!$I$5</definedName>
    <definedName name="CTXD_MSG">'Don gia XD'!$T$5</definedName>
    <definedName name="CTXD_MSVT">'Don gia XD'!$F$5</definedName>
    <definedName name="CTXD_MV">'Don gia XD'!$C$5</definedName>
    <definedName name="CTXD_STT">'Don gia XD'!$B$5</definedName>
    <definedName name="CTXD_TEN">'Don gia XD'!$G$5</definedName>
    <definedName name="CTXD_THP">'Don gia XD'!$N$5</definedName>
    <definedName name="CTXD_TT">'Don gia XD'!$M$5</definedName>
    <definedName name="ddd" localSheetId="5" hidden="1">{"'Sheet1'!$L$16"}</definedName>
    <definedName name="ddd" hidden="1">{"'Sheet1'!$L$16"}</definedName>
    <definedName name="dddddd" hidden="1">{"Offgrid",#N/A,FALSE,"OFFGRID";"Region",#N/A,FALSE,"REGION";"Offgrid -2",#N/A,FALSE,"OFFGRID";"WTP",#N/A,FALSE,"WTP";"WTP -2",#N/A,FALSE,"WTP";"Project",#N/A,FALSE,"PROJECT";"Summary -2",#N/A,FALSE,"SUMMARY"}</definedName>
    <definedName name="DGTH_CPHC">'Don gia tong hop'!$S$4</definedName>
    <definedName name="DGTH_CPHDP">'Don gia tong hop'!$X$4</definedName>
    <definedName name="DGTH_CPTC">'Don gia tong hop'!$T$4</definedName>
    <definedName name="DGTH_DGGTH">'Don gia tong hop'!$Y$4</definedName>
    <definedName name="DGTH_DGXD">'Don gia tong hop'!$U$4</definedName>
    <definedName name="DGTH_DGXTH">'Don gia tong hop'!$W$4</definedName>
    <definedName name="DGTH_DV" localSheetId="25">'Don gia tong hop'!$I$4</definedName>
    <definedName name="DGTH_GTGT">'Don gia tong hop'!$V$4</definedName>
    <definedName name="DGTH_GVT">'Don gia tong hop'!$L$4</definedName>
    <definedName name="DGTH_HPH">'Don gia tong hop'!$K$4</definedName>
    <definedName name="DGTH_HS">'Don gia tong hop'!$M$4</definedName>
    <definedName name="DGTH_ID" localSheetId="25">'Don gia tong hop'!$A$4</definedName>
    <definedName name="DGTH_KL" localSheetId="25">'Don gia tong hop'!$J$4</definedName>
    <definedName name="DGTH_KLMA" localSheetId="25">'Don gia tong hop'!$Q$5</definedName>
    <definedName name="DGTH_KLNC" localSheetId="25">'Don gia tong hop'!$P$5</definedName>
    <definedName name="DGTH_KLVL" localSheetId="25">'Don gia tong hop'!$N$5</definedName>
    <definedName name="DGTH_KLVLP" localSheetId="25">'Don gia tong hop'!$O$5</definedName>
    <definedName name="DGTH_MDM" localSheetId="25">'Don gia tong hop'!$E$4</definedName>
    <definedName name="DGTH_MHD" localSheetId="25">'Don gia tong hop'!$G$4</definedName>
    <definedName name="DGTH_MHDG" localSheetId="25">'Don gia tong hop'!$F$4</definedName>
    <definedName name="DGTH_MV" localSheetId="25">'Don gia tong hop'!$D$4</definedName>
    <definedName name="DGTH_STT" localSheetId="25">'Don gia tong hop'!$C$4</definedName>
    <definedName name="DGTH_TCHP">'Don gia tong hop'!$R$4</definedName>
    <definedName name="DGTH_TEN" localSheetId="25">'Don gia tong hop'!$H$4</definedName>
    <definedName name="dien">Ts!$N$73</definedName>
    <definedName name="diezel">Ts!$N$72</definedName>
    <definedName name="DT_DTM">DMTL!#REF!</definedName>
    <definedName name="dtctnd" hidden="1">{"'Sheet1'!$L$16"}</definedName>
    <definedName name="DTDTTB_CPC">'Du thau LD'!$N$5</definedName>
    <definedName name="DTDTTB_CPTT">'Du thau LD'!$M$5</definedName>
    <definedName name="DTDTTB_DG" localSheetId="56">'Xet thau LD'!$F$5</definedName>
    <definedName name="DTDTTB_DG">'Du thau LD'!$F$5</definedName>
    <definedName name="DTDTTB_DV" localSheetId="56">'Xet thau LD'!$D$5</definedName>
    <definedName name="DTDTTB_DV">'Du thau LD'!$D$5</definedName>
    <definedName name="DTDTTB_G">'Du thau LD'!$P$5</definedName>
    <definedName name="DTDTTB_GTGT">'Du thau LD'!$Q$5</definedName>
    <definedName name="DTDTTB_KL" localSheetId="56">'Xet thau LD'!$E$5</definedName>
    <definedName name="DTDTTB_KL">'Du thau LD'!$E$5</definedName>
    <definedName name="DTDTTB_M">'Du thau LD'!$K$5</definedName>
    <definedName name="DTDTTB_MH" localSheetId="56">'Xet thau LD'!$B$5</definedName>
    <definedName name="DTDTTB_MH">'Du thau LD'!$B$5</definedName>
    <definedName name="DTDTTB_NC">'Du thau LD'!$J$5</definedName>
    <definedName name="DTDTTB_NT">'Du thau LD'!$R$5</definedName>
    <definedName name="DTDTTB_ST">'Du thau LD'!$S$5</definedName>
    <definedName name="DTDTTB_STT" localSheetId="56">'Xet thau LD'!$A$5</definedName>
    <definedName name="DTDTTB_STT">'Du thau LD'!$A$5</definedName>
    <definedName name="DTDTTB_TENCV" localSheetId="56">'Xet thau LD'!$C$5</definedName>
    <definedName name="DTDTTB_TENCV">'Du thau LD'!$C$5</definedName>
    <definedName name="DTDTTB_TL">'Du thau LD'!$O$5</definedName>
    <definedName name="DTDTTB_TT" localSheetId="56">'Xet thau LD'!$G$5</definedName>
    <definedName name="DTDTTB_TT">'Du thau LD'!$G$5</definedName>
    <definedName name="DTDTTB_TTK">'Du thau LD'!$L$5</definedName>
    <definedName name="DTDTTB_VL">'Du thau LD'!$H$5</definedName>
    <definedName name="DTDTTB_VLP">'Du thau LD'!$I$5</definedName>
    <definedName name="DTDTXD_CPC" localSheetId="36">'Xet thau XD'!$J$5</definedName>
    <definedName name="DTDTXD_CPC">'Du thau XD'!$N$5</definedName>
    <definedName name="DTDTXD_CPTT" localSheetId="36">'Xet thau XD'!$I$5</definedName>
    <definedName name="DTDTXD_CPTT">'Du thau XD'!$M$5</definedName>
    <definedName name="DTDTXD_DG" localSheetId="36">'Xet thau XD'!$F$5</definedName>
    <definedName name="DTDTXD_DG">'Du thau XD'!$F$5</definedName>
    <definedName name="DTDTXD_DV" localSheetId="36">'Xet thau XD'!$D$5</definedName>
    <definedName name="DTDTXD_DV">'Du thau XD'!$D$5</definedName>
    <definedName name="DTDTXD_G" localSheetId="36">'Xet thau XD'!$L$5</definedName>
    <definedName name="DTDTXD_G">'Du thau XD'!$P$5</definedName>
    <definedName name="DTDTXD_GTGT" localSheetId="36">'Xet thau XD'!$M$5</definedName>
    <definedName name="DTDTXD_GTGT">'Du thau XD'!$Q$5</definedName>
    <definedName name="DTDTXD_KL" localSheetId="36">'Xet thau XD'!$E$5</definedName>
    <definedName name="DTDTXD_KL">'Du thau XD'!$E$5</definedName>
    <definedName name="DTDTXD_M">'Du thau XD'!$K$5</definedName>
    <definedName name="DTDTXD_MH" localSheetId="36">'Xet thau XD'!$B$5</definedName>
    <definedName name="DTDTXD_MH">'Du thau XD'!$B$5</definedName>
    <definedName name="DTDTXD_NC">'Du thau XD'!$J$5</definedName>
    <definedName name="DTDTXD_NT" localSheetId="36">'Xet thau XD'!$N$5</definedName>
    <definedName name="DTDTXD_NT">'Du thau XD'!$R$5</definedName>
    <definedName name="DTDTXD_ST" localSheetId="36">'Xet thau XD'!$O$5</definedName>
    <definedName name="DTDTXD_ST">'Du thau XD'!$S$5</definedName>
    <definedName name="DTDTXD_STT" localSheetId="36">'Xet thau XD'!$A$5</definedName>
    <definedName name="DTDTXD_STT">'Du thau XD'!$A$5</definedName>
    <definedName name="DTDTXD_TENCV" localSheetId="36">'Xet thau XD'!$C$5</definedName>
    <definedName name="DTDTXD_TENCV">'Du thau XD'!$C$5</definedName>
    <definedName name="DTDTXD_TL" localSheetId="36">'Xet thau XD'!$K$5</definedName>
    <definedName name="DTDTXD_TL">'Du thau XD'!$O$5</definedName>
    <definedName name="DTDTXD_TT" localSheetId="36">'Xet thau XD'!$G$5</definedName>
    <definedName name="DTDTXD_TT">'Du thau XD'!$G$5</definedName>
    <definedName name="DTDTXD_TTK" localSheetId="36">'Xet thau XD'!$H$5</definedName>
    <definedName name="DTDTXD_TTK">'Du thau XD'!$L$5</definedName>
    <definedName name="DTDTXD_VL">'Du thau XD'!$H$5</definedName>
    <definedName name="DTDTXD_VLP">'Du thau XD'!$I$5</definedName>
    <definedName name="DTGTTB_N1">'THDT goi thau TB'!$A$13</definedName>
    <definedName name="DTGTXD_N1">'THDT goi thau XD'!$A$9</definedName>
    <definedName name="DTTB_BP">'Du toan LD'!$S$5</definedName>
    <definedName name="DTTB_CAO">'Du toan LD'!$V$6</definedName>
    <definedName name="DTTB_DAI">'Du toan LD'!$T$6</definedName>
    <definedName name="DTTB_DG06">'Du toan LD'!$M$5</definedName>
    <definedName name="DTTB_DM">'Du toan LD'!$D$5</definedName>
    <definedName name="DTTB_DV">'Du toan LD'!$G$5</definedName>
    <definedName name="DTTB_GHC">'Du toan LD'!$Z$5</definedName>
    <definedName name="DTTB_HS">'Du toan LD'!$W$5</definedName>
    <definedName name="DTTB_ID">'Du toan LD'!$A$5</definedName>
    <definedName name="DTTB_KL">'Du toan LD'!$H$5</definedName>
    <definedName name="DTTB_KLBP">'Du toan LD'!$X$5</definedName>
    <definedName name="DTTB_KLTB">'Du toan LD'!$Y$5</definedName>
    <definedName name="DTTB_M">'Du toan LD'!$Q$6</definedName>
    <definedName name="DTTB_MG">'Du toan LD'!$L$6</definedName>
    <definedName name="DTTB_MH">'Du toan LD'!$E$5</definedName>
    <definedName name="DTTB_MV">'Du toan LD'!$C$5</definedName>
    <definedName name="DTTB_NC">'Du toan LD'!$P$6</definedName>
    <definedName name="DTTB_NCG">'Du toan LD'!$K$6</definedName>
    <definedName name="DTTB_RONG">'Du toan LD'!$U$6</definedName>
    <definedName name="DTTB_STT">'Du toan LD'!$B$5</definedName>
    <definedName name="DTTB_TENCV">'Du toan LD'!$F$5</definedName>
    <definedName name="DTTB_TT06">'Du toan LD'!$R$5</definedName>
    <definedName name="DTTB_VL">'Du toan LD'!$N$6</definedName>
    <definedName name="DTTB_VLCT">'Du toan LD'!$AA$5</definedName>
    <definedName name="DTTB_VLG">'Du toan LD'!$I$6</definedName>
    <definedName name="DTTB_VLP">'Du toan LD'!$O$6</definedName>
    <definedName name="DTTB_VLPG">'Du toan LD'!$J$6</definedName>
    <definedName name="DTXD_BP">'Du toan XD'!$S$5</definedName>
    <definedName name="DTXD_CAO">'Du toan XD'!$V$6</definedName>
    <definedName name="DTXD_DAI">'Du toan XD'!$T$6</definedName>
    <definedName name="DTXD_DG06">'Du toan XD'!$M$5</definedName>
    <definedName name="DTXD_DM">'Du toan XD'!$D$5</definedName>
    <definedName name="DTXD_DV">'Du toan XD'!$G$5</definedName>
    <definedName name="DTXD_GHC">'Du toan XD'!$Z$5</definedName>
    <definedName name="DTXD_HS">'Du toan XD'!$W$5</definedName>
    <definedName name="DTXD_ID">'Du toan XD'!$A$5</definedName>
    <definedName name="DTXD_KL">'Du toan XD'!$H$5</definedName>
    <definedName name="DTXD_KLBP">'Du toan XD'!$X$5</definedName>
    <definedName name="DTXD_KLTB">'Du toan XD'!$Y$5</definedName>
    <definedName name="DTXD_M">'Du toan XD'!$Q$6</definedName>
    <definedName name="DTXD_MG">'Du toan XD'!$L$6</definedName>
    <definedName name="DTXD_MH">'Du toan XD'!$E$5</definedName>
    <definedName name="DTXD_MV">'Du toan XD'!$C$5</definedName>
    <definedName name="DTXD_NC">'Du toan XD'!$P$6</definedName>
    <definedName name="DTXD_NCG">'Du toan XD'!$K$6</definedName>
    <definedName name="DTXD_RONG">'Du toan XD'!$U$6</definedName>
    <definedName name="DTXD_STT">'Du toan XD'!$B$5</definedName>
    <definedName name="DTXD_TENCV">'Du toan XD'!$F$5</definedName>
    <definedName name="DTXD_TT06">'Du toan XD'!$R$5</definedName>
    <definedName name="DTXD_VL">'Du toan XD'!$N$6</definedName>
    <definedName name="DTXD_VLCT">'Du toan XD'!$AA$6</definedName>
    <definedName name="DTXD_VLG">'Du toan XD'!$I$6</definedName>
    <definedName name="DTXD_VLP">'Du toan XD'!$O$6</definedName>
    <definedName name="DTXD_VLPG">'Du toan XD'!$J$6</definedName>
    <definedName name="fgn" localSheetId="5" hidden="1">{"'Sheet1'!$L$16"}</definedName>
    <definedName name="fgn" hidden="1">{"'Sheet1'!$L$16"}</definedName>
    <definedName name="FiLL" hidden="1">#REF!</definedName>
    <definedName name="fsdfdsf" localSheetId="5" hidden="1">{"'Sheet1'!$L$16"}</definedName>
    <definedName name="fsdfdsf" hidden="1">{"'Sheet1'!$L$16"}</definedName>
    <definedName name="G_KS">'TMDT-SVDT'!$P$153</definedName>
    <definedName name="GCMTB_CA">'Gia ca may LD'!$D$5</definedName>
    <definedName name="GCMTB_CBT">'Gia ca may LD'!$O$5</definedName>
    <definedName name="GCMTB_CLCPNL" localSheetId="54">'Gia ca may LD'!$N$5</definedName>
    <definedName name="GCMTB_CPK">'Gia ca may LD'!$U$5</definedName>
    <definedName name="GCMTB_CPKG">'Gia ca may LD'!$Y$6</definedName>
    <definedName name="GCMTB_CPKH">'Gia ca may LD'!$Q$5</definedName>
    <definedName name="GCMTB_CPKHG">'Gia ca may LD'!$W$6</definedName>
    <definedName name="GCMTB_CPNL">'Gia ca may LD'!$S$5</definedName>
    <definedName name="GCMTB_CPNLDC">'Gia ca may LD'!$AE$5</definedName>
    <definedName name="GCMTB_CPNLG">'Gia ca may LD'!$Z$5</definedName>
    <definedName name="GCMTB_CPSC">'Gia ca may LD'!$R$5</definedName>
    <definedName name="GCMTB_CPSCG">'Gia ca may LD'!$X$6</definedName>
    <definedName name="GCMTB_CPTL">'Gia ca may LD'!$T$5</definedName>
    <definedName name="GCMTB_CPTLDC">'Gia ca may LD'!$AF$5</definedName>
    <definedName name="GCMTB_CPTLG">'Gia ca may LD'!$AA$5</definedName>
    <definedName name="GCMTB_DIEN">'Gia ca may LD'!$AN$1</definedName>
    <definedName name="GCMTB_DIEZEL">'Gia ca may LD'!$AM$1</definedName>
    <definedName name="GCMTB_DMCA" localSheetId="54">'Gia ca may LD'!$J$5</definedName>
    <definedName name="GCMTB_DMK">'Gia ca may LD'!$I$6</definedName>
    <definedName name="GCMTB_DMKH">'Gia ca may LD'!$F$6</definedName>
    <definedName name="GCMTB_DMSC">'Gia ca may LD'!$H$6</definedName>
    <definedName name="GCMTB_DMTH">'Gia ca may LD'!$J$4</definedName>
    <definedName name="GCMTB_GCM">'Gia ca may LD'!$V$5</definedName>
    <definedName name="GCMTB_GCMDC">'Gia ca may LD'!$AJ$5</definedName>
    <definedName name="GCMTB_GCMG">'Gia ca may LD'!$AD$5</definedName>
    <definedName name="GCMTB_HPCA" localSheetId="54">'Gia ca may LD'!$E$5</definedName>
    <definedName name="GCMTB_HSDCNG">'Gia ca may LD'!$AG$5</definedName>
    <definedName name="GCMTB_HSDCNL">'Gia ca may LD'!$AH$5</definedName>
    <definedName name="GCMTB_HSDCTL">'Gia ca may LD'!$AI$5</definedName>
    <definedName name="GCMTB_HSP">'Gia ca may LD'!$L$5</definedName>
    <definedName name="GCMTB_HSTH">'Gia ca may LD'!$G$6</definedName>
    <definedName name="GCMTB_MH">'Gia ca may LD'!$B$5</definedName>
    <definedName name="GCMTB_NG">'Gia ca may LD'!$P$5</definedName>
    <definedName name="GCMTB_NGDC">'Gia ca may LD'!$AC$5</definedName>
    <definedName name="GCMTB_NGG">'Gia ca may LD'!$AB$5</definedName>
    <definedName name="GCMTB_STT">'Gia ca may LD'!$A$5</definedName>
    <definedName name="GCMTB_TENM">'Gia ca may LD'!$C$5</definedName>
    <definedName name="GCMTB_THNL">'Gia ca may LD'!$K$4</definedName>
    <definedName name="GCMTB_THP" localSheetId="54">'Gia ca may LD'!$M$5</definedName>
    <definedName name="GCMTB_XANG">'Gia ca may LD'!$AL$1</definedName>
    <definedName name="GCMXD_CA">'Gia ca may XD'!$D$5</definedName>
    <definedName name="GCMXD_CBT">'Gia ca may XD'!$O$5</definedName>
    <definedName name="GCMXD_CLCPNL" localSheetId="34">'Gia ca may XD'!$N$5</definedName>
    <definedName name="GCMXD_CPK">'Gia ca may XD'!$U$5</definedName>
    <definedName name="GCMXD_CPKG">'Gia ca may XD'!$Y$6</definedName>
    <definedName name="GCMXD_CPKH">'Gia ca may XD'!$Q$5</definedName>
    <definedName name="GCMXD_CPKHG">'Gia ca may XD'!$W$6</definedName>
    <definedName name="GCMXD_CPNL">'Gia ca may XD'!$S$5</definedName>
    <definedName name="GCMXD_CPNLDC">'Gia ca may XD'!$AE$5</definedName>
    <definedName name="GCMXD_CPNLG">'Gia ca may XD'!$Z$5</definedName>
    <definedName name="GCMXD_CPSC">'Gia ca may XD'!$R$5</definedName>
    <definedName name="GCMXD_CPSCG">'Gia ca may XD'!$X$6</definedName>
    <definedName name="GCMXD_CPTL">'Gia ca may XD'!$T$5</definedName>
    <definedName name="GCMXD_CPTLDC">'Gia ca may XD'!$AF$5</definedName>
    <definedName name="GCMXD_CPTLG">'Gia ca may XD'!$AA$5</definedName>
    <definedName name="GCMXD_DIEN">'Gia ca may XD'!$AN$1</definedName>
    <definedName name="GCMXD_DIEZEL">'Gia ca may XD'!$AM$1</definedName>
    <definedName name="GCMXD_DMCA" localSheetId="34">'Gia ca may XD'!$J$5</definedName>
    <definedName name="GCMXD_DMK">'Gia ca may XD'!$I$6</definedName>
    <definedName name="GCMXD_DMKH">'Gia ca may XD'!$F$6</definedName>
    <definedName name="GCMXD_DMSC">'Gia ca may XD'!$H$6</definedName>
    <definedName name="GCMXD_DMTH">'Gia ca may XD'!$J$1</definedName>
    <definedName name="GCMXD_GCM">'Gia ca may XD'!$V$5</definedName>
    <definedName name="GCMXD_GCMDC">'Gia ca may XD'!$AJ$5</definedName>
    <definedName name="GCMXD_GCMG">'Gia ca may XD'!$AD$5</definedName>
    <definedName name="GCMXD_HPCA" localSheetId="34">'Gia ca may XD'!$E$5</definedName>
    <definedName name="GCMXD_HSDCNG">'Gia ca may XD'!$AG$5</definedName>
    <definedName name="GCMXD_HSDCNL">'Gia ca may XD'!$AH$5</definedName>
    <definedName name="GCMXD_HSDCTL">'Gia ca may XD'!$AI$5</definedName>
    <definedName name="GCMXD_HSP">'Gia ca may XD'!$L$5</definedName>
    <definedName name="GCMXD_HSTH">'Gia ca may XD'!$G$6</definedName>
    <definedName name="GCMXD_MH">'Gia ca may XD'!$B$5</definedName>
    <definedName name="GCMXD_NG">'Gia ca may XD'!$P$5</definedName>
    <definedName name="GCMXD_NGDC">'Gia ca may XD'!$AC$5</definedName>
    <definedName name="GCMXD_NGG">'Gia ca may XD'!$AB$5</definedName>
    <definedName name="GCMXD_STT">'Gia ca may XD'!$A$5</definedName>
    <definedName name="GCMXD_TENM">'Gia ca may XD'!$C$5</definedName>
    <definedName name="GCMXD_THNL">'Gia ca may XD'!$K$1</definedName>
    <definedName name="GCMXD_THP" localSheetId="34">'Gia ca may XD'!$M$5</definedName>
    <definedName name="GCMXD_XANG">'Gia ca may XD'!$AL$1</definedName>
    <definedName name="gdg" localSheetId="5" hidden="1">{"'Sheet1'!$L$16"}</definedName>
    <definedName name="gdg" hidden="1">{"'Sheet1'!$L$16"}</definedName>
    <definedName name="GetColumn">"["&amp;COLUMN()&amp;"]"</definedName>
    <definedName name="GGG" localSheetId="5" hidden="1">{"'Sheet1'!$L$16"}</definedName>
    <definedName name="GGG" hidden="1">{"'Sheet1'!$L$16"}</definedName>
    <definedName name="GKS">Ts!$O$31</definedName>
    <definedName name="GLD_CT">'THCP Lap dat'!$C$5</definedName>
    <definedName name="GLD_GT1">'THCP Lap dat'!$D$5</definedName>
    <definedName name="GLD_HS1">'THCP Lap dat'!$F$5</definedName>
    <definedName name="GLD_HS2">'THCP Lap dat'!$G$5</definedName>
    <definedName name="GLD_KH">'THCP Lap dat'!$E$5</definedName>
    <definedName name="GLD_KM">'THCP Lap dat'!$B$5</definedName>
    <definedName name="GLD_STT">'THCP Lap dat'!$A$5</definedName>
    <definedName name="GLDtt">'THDT goi thau TB'!$F$13</definedName>
    <definedName name="GMTB_cot19">'Gia ca may LD'!$V$1</definedName>
    <definedName name="GMTB_cot33">'Gia ca may LD'!$AJ$1</definedName>
    <definedName name="GMXD_cot18">'Gia ca may XD'!$V$1</definedName>
    <definedName name="GMXD_cot33">'Gia ca may XD'!$AJ$1</definedName>
    <definedName name="GQLDA">'TH DTXD'!$F$23</definedName>
    <definedName name="GQLDAAA">'TH DTXD'!$F$23</definedName>
    <definedName name="GQTDA">Ts!$M$32</definedName>
    <definedName name="GT_TB">'TMDT-SVDT'!$P$149</definedName>
    <definedName name="GT_TC">'TMDT-SVDT'!$P$148</definedName>
    <definedName name="GT_TV">'TMDT-SVDT'!$P$150</definedName>
    <definedName name="GTBtt">'TH DTXD'!$F$22</definedName>
    <definedName name="GTBtt_Ts">Ts!$N$27</definedName>
    <definedName name="GTH_BPKC" localSheetId="6">'TMDT-GTH'!$C$5</definedName>
    <definedName name="GTH_CSG" localSheetId="6">'TMDT-GTH'!$G$5</definedName>
    <definedName name="GTH_DV" localSheetId="6">'TMDT-GTH'!$F$5</definedName>
    <definedName name="GTH_GCHU" localSheetId="6">'TMDT-GTH'!$M$5</definedName>
    <definedName name="GTH_GTH" localSheetId="6">'TMDT-GTH'!$E$5</definedName>
    <definedName name="GTH_HSQM" localSheetId="6">'TMDT-GTH'!$I$5</definedName>
    <definedName name="GTH_HSV" localSheetId="6">'TMDT-GTH'!$H$5</definedName>
    <definedName name="GTH_KL" localSheetId="6">'TMDT-GTH'!$D$5</definedName>
    <definedName name="GTH_MH" localSheetId="6">'TMDT-GTH'!$B$5</definedName>
    <definedName name="GTH_SAUTHUE" localSheetId="6">'TMDT-GTH'!$L$6</definedName>
    <definedName name="GTH_STT" localSheetId="6">'TMDT-GTH'!$A$5</definedName>
    <definedName name="GTH_TRCTHUE" localSheetId="6">'TMDT-GTH'!$J$6</definedName>
    <definedName name="GTH_VAT" localSheetId="6">'TMDT-GTH'!$K$6</definedName>
    <definedName name="GTOTAL" localSheetId="5" hidden="1">{"'Sheet1'!$L$16"}</definedName>
    <definedName name="GTOTAL" hidden="1">{"'Sheet1'!$L$16"}</definedName>
    <definedName name="GTTB">Ts!$O$30</definedName>
    <definedName name="GTTB_">'THDT goi thau TB'!$H$19</definedName>
    <definedName name="GTTC">Ts!$O$29</definedName>
    <definedName name="GTTV">Ts!$O$28</definedName>
    <definedName name="GTXD_">'THDT goi thau XD'!$H$13</definedName>
    <definedName name="GXD_CT">'THCP xay dung'!$C$5</definedName>
    <definedName name="GXD_GT1">'THCP xay dung'!$D$5</definedName>
    <definedName name="GXD_HS1">'THCP xay dung'!$F$5</definedName>
    <definedName name="GXD_HS2">'THCP xay dung'!$G$5</definedName>
    <definedName name="GXD_KH">'THCP xay dung'!$E$5</definedName>
    <definedName name="GXD_KM">'THCP xay dung'!$B$5</definedName>
    <definedName name="GXD_STT">'THCP xay dung'!$A$5</definedName>
    <definedName name="GXDtt">'TH DTXD'!$F$8</definedName>
    <definedName name="GXDtt_Ts">Ts!$N$26</definedName>
    <definedName name="h" localSheetId="25" hidden="1">{"'Sheet1'!$L$16"}</definedName>
    <definedName name="h" localSheetId="5" hidden="1">{"'Sheet1'!$L$16"}</definedName>
    <definedName name="h" localSheetId="20" hidden="1">{"'Sheet1'!$L$16"}</definedName>
    <definedName name="h" hidden="1">{"'Sheet1'!$L$16"}</definedName>
    <definedName name="HelloWorld1" localSheetId="5" hidden="1">{"'Sheet1'!$L$16"}</definedName>
    <definedName name="HelloWorld1" hidden="1">{"'Sheet1'!$L$16"}</definedName>
    <definedName name="Heso">'TH DTXD'!$D1</definedName>
    <definedName name="hethongthoatnuocngoainha" localSheetId="5" hidden="1">#REF!</definedName>
    <definedName name="hethongthoatnuocngoainha" hidden="1">#REF!</definedName>
    <definedName name="hhhhhu" localSheetId="25" hidden="1">{"'Sheet1'!$L$16"}</definedName>
    <definedName name="hhhhhu" localSheetId="5" hidden="1">{"'Sheet1'!$L$16"}</definedName>
    <definedName name="hhhhhu" localSheetId="20" hidden="1">{"'Sheet1'!$L$16"}</definedName>
    <definedName name="hhhhhu" hidden="1">{"'Sheet1'!$L$16"}</definedName>
    <definedName name="hp" hidden="1">{"'Sheet1'!$L$16"}</definedName>
    <definedName name="HTML_CodePage" hidden="1">950</definedName>
    <definedName name="HTML_Control" localSheetId="25" hidden="1">{"'Sheet1'!$L$16"}</definedName>
    <definedName name="HTML_Control" localSheetId="5" hidden="1">{"'Sheet1'!$L$16"}</definedName>
    <definedName name="HTML_Control" localSheetId="20"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L" localSheetId="5" hidden="1">{"'Sheet1'!$L$16"}</definedName>
    <definedName name="HTNL" hidden="1">{"'Sheet1'!$L$16"}</definedName>
    <definedName name="huy" localSheetId="25" hidden="1">{"'Sheet1'!$L$16"}</definedName>
    <definedName name="huy" localSheetId="5" hidden="1">{"'Sheet1'!$L$16"}</definedName>
    <definedName name="huy" localSheetId="20" hidden="1">{"'Sheet1'!$L$16"}</definedName>
    <definedName name="huy" hidden="1">{"'Sheet1'!$L$16"}</definedName>
    <definedName name="iCt_End" localSheetId="25">52</definedName>
    <definedName name="jkh" localSheetId="5" hidden="1">{"'Sheet1'!$L$16"}</definedName>
    <definedName name="jkh" hidden="1">{"'Sheet1'!$L$16"}</definedName>
    <definedName name="k" hidden="1">{"Offgrid",#N/A,FALSE,"OFFGRID";"Region",#N/A,FALSE,"REGION";"Offgrid -2",#N/A,FALSE,"OFFGRID";"WTP",#N/A,FALSE,"WTP";"WTP -2",#N/A,FALSE,"WTP";"Project",#N/A,FALSE,"PROJECT";"Summary -2",#N/A,FALSE,"SUMMARY"}</definedName>
    <definedName name="LCT">Ts!$L$15</definedName>
    <definedName name="lduong" localSheetId="0">Config!$AC$5:$AC$10</definedName>
    <definedName name="m" localSheetId="5" hidden="1">{"'Sheet1'!$L$16"}</definedName>
    <definedName name="m" hidden="1">{"'Sheet1'!$L$16"}</definedName>
    <definedName name="mazut">Ts!$N$74</definedName>
    <definedName name="mh" localSheetId="5" hidden="1">{"'Sheet1'!$L$16"}</definedName>
    <definedName name="mh" hidden="1">{"'Sheet1'!$L$16"}</definedName>
    <definedName name="MSTB_CL">'MS TBVT-TN'!$L$5</definedName>
    <definedName name="MSTB_DGTT">'MS TBVT-TN'!$F$5</definedName>
    <definedName name="MSTB_DGTT_EUR" localSheetId="41">'MS TBVT-NN'!$F$5</definedName>
    <definedName name="MSTB_DGTT_USD" localSheetId="41">'MS TBVT-NN'!$G$5</definedName>
    <definedName name="MSTB_DGTT_VND" localSheetId="41">'MS TBVT-NN'!$H$5</definedName>
    <definedName name="MSTB_DVI" localSheetId="41">'MS TBVT-NN'!$D$5</definedName>
    <definedName name="MSTB_DVI">'MS TBVT-TN'!$D$5</definedName>
    <definedName name="MSTB_GCHU" localSheetId="41">'MS TBVT-NN'!$O$5</definedName>
    <definedName name="MSTB_GCHU">'MS TBVT-TN'!$K$5</definedName>
    <definedName name="MSTB_GTGT">'MS TBVT-TN'!$H$5</definedName>
    <definedName name="MSTB_KLG" localSheetId="41">'MS TBVT-NN'!$E$5</definedName>
    <definedName name="MSTB_KLG">'MS TBVT-TN'!$E$5</definedName>
    <definedName name="MSTB_NCC">'MS TBVT-TN'!$O$5</definedName>
    <definedName name="MSTB_NGUON">'MS TBVT-TN'!$P$5</definedName>
    <definedName name="MSTB_NSX">'MS TBVT-TN'!$N$5</definedName>
    <definedName name="MSTB_STT" localSheetId="41">'MS TBVT-NN'!$A$5</definedName>
    <definedName name="MSTB_STT">'MS TBVT-TN'!$A$5</definedName>
    <definedName name="MSTB_TEN" localSheetId="41">'MS TBVT-NN'!$C$5</definedName>
    <definedName name="MSTB_TEN">'MS TBVT-TN'!$C$5</definedName>
    <definedName name="MSTB_TGTGT" localSheetId="41">'MS TBVT-NN'!$L$5</definedName>
    <definedName name="MSTB_TRA" localSheetId="41">'MS TBVT-NN'!$B$5</definedName>
    <definedName name="MSTB_TRA">'MS TBVT-TN'!$B$5</definedName>
    <definedName name="MSTB_TSUAT" localSheetId="41">'MS TBVT-NN'!$J$5</definedName>
    <definedName name="MSTB_TSUAT">'MS TBVT-TN'!$J$5</definedName>
    <definedName name="MSTB_TTST" localSheetId="41">'MS TBVT-NN'!$N$5</definedName>
    <definedName name="MSTB_TTST">'MS TBVT-TN'!$I$5</definedName>
    <definedName name="MSTB_TTTGTGT" localSheetId="41">'MS TBVT-NN'!$M$5</definedName>
    <definedName name="MSTB_TTTSUAT" localSheetId="41">'MS TBVT-NN'!$K$5</definedName>
    <definedName name="MSTB_TTTT" localSheetId="41">'MS TBVT-NN'!$I$5</definedName>
    <definedName name="MSTB_TTTT">'MS TBVT-TN'!$G$5</definedName>
    <definedName name="MSTB_XX">'MS TBVT-TN'!$M$5</definedName>
    <definedName name="NCLM_CB">'Tho lai may'!$D$5</definedName>
    <definedName name="NCLM_HSL">'Tho lai may'!$E$5</definedName>
    <definedName name="NCLM_LNC">'Tho lai may'!$C$5</definedName>
    <definedName name="NCLM_MH">'Tho lai may'!$B$5</definedName>
    <definedName name="NCLM_STT">'Tho lai may'!$A$5</definedName>
    <definedName name="NCLM_T">'Tho lai may'!$H$5</definedName>
    <definedName name="NCTB_CB">'Nhan cong LD'!$D$5</definedName>
    <definedName name="NCTB_HSL">'Nhan cong LD'!$E$5</definedName>
    <definedName name="NCTB_LNC">'Nhan cong LD'!$C$5</definedName>
    <definedName name="NCTB_MH">'Nhan cong LD'!$B$5</definedName>
    <definedName name="NCTB_STT">'Nhan cong LD'!$A$5</definedName>
    <definedName name="NCTB_T">'Nhan cong LD'!$H$5</definedName>
    <definedName name="NCXD_CB">'Nhan cong XD'!$D$5</definedName>
    <definedName name="NCXD_HSL">'Nhan cong XD'!$E$5</definedName>
    <definedName name="NCXD_LNC">'Nhan cong XD'!$C$5</definedName>
    <definedName name="NCXD_MH">'Nhan cong XD'!$B$5</definedName>
    <definedName name="NCXD_STT">'Nhan cong XD'!$A$5</definedName>
    <definedName name="NCXD_T">'Nhan cong XD'!$H$5</definedName>
    <definedName name="ngu" localSheetId="5" hidden="1">{"'Sheet1'!$L$16"}</definedName>
    <definedName name="ngu" hidden="1">{"'Sheet1'!$L$16"}</definedName>
    <definedName name="Nhom_DTM">DMTL!$D$355</definedName>
    <definedName name="o" localSheetId="5" hidden="1">{"'Sheet1'!$L$16"}</definedName>
    <definedName name="o" hidden="1">{"'Sheet1'!$L$16"}</definedName>
    <definedName name="PercentComplete">PercentCompleteBeyond*PeriodInPlan</definedName>
    <definedName name="PercentCompleteBeyond">('Tien do TV'!A$7=MEDIAN('Tien do TV'!A$7,'Tien do TV'!$J1,'Tien do TV'!$J1+'Tien do TV'!$K1)*('Tien do TV'!$J1&gt;0))*(('Tien do TV'!A$7&lt;(INT('Tien do TV'!$J1+'Tien do TV'!$K1*'Tien do TV'!$L1)))+('Tien do TV'!A$7='Tien do TV'!$J1))*('Tien do TV'!$L1&gt;0)</definedName>
    <definedName name="period_selected">'Tien do TV'!$P$1</definedName>
    <definedName name="PeriodInActual">'Tien do TV'!A$7=MEDIAN('Tien do TV'!A$7,'Tien do TV'!$J1,'Tien do TV'!$J1+'Tien do TV'!$K1-1)</definedName>
    <definedName name="PeriodInPlan">'Tien do TV'!A$7=MEDIAN('Tien do TV'!A$7,'Tien do TV'!$F1,'Tien do TV'!$F1+'Tien do TV'!$G1-1)</definedName>
    <definedName name="ph" hidden="1">{"'Sheet1'!$L$16"}</definedName>
    <definedName name="Plan">PeriodInPlan*('Tien do TV'!$F1&gt;0)</definedName>
    <definedName name="PLVTB_DG">'Gia vua LD'!$G$5</definedName>
    <definedName name="PLVTB_DM">'Gia vua LD'!$F$5</definedName>
    <definedName name="PLVTB_DV">'Gia vua LD'!$E$5</definedName>
    <definedName name="PLVTB_LVT">'Gia vua LD'!$D$5</definedName>
    <definedName name="PLVTB_MV">'Gia vua LD'!$B$5</definedName>
    <definedName name="PLVTB_MVT">'Gia vua LD'!$C$5</definedName>
    <definedName name="PLVTB_STT">'Gia vua LD'!$A$5</definedName>
    <definedName name="PLVTB_TT">'Gia vua LD'!$H$5</definedName>
    <definedName name="PLVXD_DG">'Gia vua XD'!$G$5</definedName>
    <definedName name="PLVXD_DM">'Gia vua XD'!$F$5</definedName>
    <definedName name="PLVXD_DV">'Gia vua XD'!$E$5</definedName>
    <definedName name="PLVXD_LVT">'Gia vua XD'!$D$5</definedName>
    <definedName name="PLVXD_MV">'Gia vua XD'!$B$5</definedName>
    <definedName name="PLVXD_MVT">'Gia vua XD'!$C$5</definedName>
    <definedName name="PLVXD_STT">'Gia vua XD'!$A$5</definedName>
    <definedName name="PLVXD_TT">'Gia vua XD'!$H$5</definedName>
    <definedName name="_xlnm.Print_Area" localSheetId="12">'BC tham dinh'!$C$1:$O$69</definedName>
    <definedName name="_xlnm.Print_Area" localSheetId="13">'BC tham tra'!$C$1:$O$82</definedName>
    <definedName name="_xlnm.Print_Area" localSheetId="37">'Bia-DTTB'!$A:$O</definedName>
    <definedName name="_xlnm.Print_Area" localSheetId="10">'Bia-DTXD'!$A$1:$O$57</definedName>
    <definedName name="_xlnm.Print_Area" localSheetId="9">'Bia-Dutoan'!$A:$O</definedName>
    <definedName name="_xlnm.Print_Area" localSheetId="3">'Bia-TMDT'!$A$1:$O$33</definedName>
    <definedName name="_xlnm.Print_Area" localSheetId="43">'CP ban quyen CN'!$A:$I</definedName>
    <definedName name="_xlnm.Print_Area" localSheetId="45">'CP chay thu TB'!$A:$I</definedName>
    <definedName name="_xlnm.Print_Area" localSheetId="17">'Cp chuyen gia'!$B:$H</definedName>
    <definedName name="_xlnm.Print_Area" localSheetId="44">'CP dao tao'!$A:$I</definedName>
    <definedName name="_xlnm.Print_Area" localSheetId="23">'CP Du phong'!$A$61:$G$212</definedName>
    <definedName name="_xlnm.Print_Area" localSheetId="46">'CP Thi nghiem TB'!$A:$J</definedName>
    <definedName name="_xlnm.Print_Area" localSheetId="19">'CPK TV'!$B:$G</definedName>
    <definedName name="_xlnm.Print_Area" localSheetId="49">'Don gia LD'!$B:$M</definedName>
    <definedName name="_xlnm.Print_Area" localSheetId="25">'Don gia tong hop'!$C:$R</definedName>
    <definedName name="_xlnm.Print_Area" localSheetId="16">'DT man-month'!$B:$G</definedName>
    <definedName name="_xlnm.Print_Area" localSheetId="55">'Du thau LD'!$A:$G</definedName>
    <definedName name="_xlnm.Print_Area" localSheetId="35">'Du thau XD'!$A:$G</definedName>
    <definedName name="_xlnm.Print_Area" localSheetId="48">'Du toan LD'!$B:$Q</definedName>
    <definedName name="_xlnm.Print_Area" localSheetId="26">'Du toan XD'!$B:$Q</definedName>
    <definedName name="_xlnm.Print_Area" localSheetId="54">'Gia ca may LD'!$A:$V</definedName>
    <definedName name="_xlnm.Print_Area" localSheetId="34">'Gia ca may XD'!$A:$V</definedName>
    <definedName name="_xlnm.Print_Area" localSheetId="52">'Gia vat lieu HTLD'!$A:$BA</definedName>
    <definedName name="_xlnm.Print_Area" localSheetId="32">'Gia vat lieu HTXD'!$A:$AN</definedName>
    <definedName name="_xlnm.Print_Area" localSheetId="51">'Gia vua LD'!$A:$H</definedName>
    <definedName name="_xlnm.Print_Area" localSheetId="31">'Gia vua XD'!$A:$H</definedName>
    <definedName name="_xlnm.Print_Area" localSheetId="40">'MS TBVT-TN'!$A:$I</definedName>
    <definedName name="_xlnm.Print_Area" localSheetId="14">'TH DTXD'!$A$1:$H$40</definedName>
    <definedName name="_xlnm.Print_Area" localSheetId="21">'THCP khac'!$B:$I</definedName>
    <definedName name="_xlnm.Print_Area" localSheetId="47">'THCP Lap dat'!$A$1:$E$35</definedName>
    <definedName name="_xlnm.Print_Area" localSheetId="15">'THCP tu van'!$B:$I</definedName>
    <definedName name="_xlnm.Print_Area" localSheetId="24">'THCP xay dung'!$A$1:$E$238</definedName>
    <definedName name="_xlnm.Print_Area" localSheetId="38">'THDT goi thau TB'!$A:$I</definedName>
    <definedName name="_xlnm.Print_Area" localSheetId="22">'THDT goi thau XD'!$A$1:$I$20</definedName>
    <definedName name="_xlnm.Print_Area" localSheetId="30">'Thong ke thep'!$B$1:$O$100</definedName>
    <definedName name="_xlnm.Print_Area" localSheetId="18">Tienluong!$B:$K</definedName>
    <definedName name="_xlnm.Print_Area" localSheetId="11">TM!$C:$O</definedName>
    <definedName name="_xlnm.Print_Area" localSheetId="7">'TMDT-SVDT'!$B$1:$M$186</definedName>
    <definedName name="_xlnm.Print_Area" localSheetId="2">Ts!$G$1:$P$75</definedName>
    <definedName name="_xlnm.Print_Area" localSheetId="56">'Xet thau LD'!$A:$G</definedName>
    <definedName name="_xlnm.Print_Area" localSheetId="36">'Xet thau XD'!$A:$G</definedName>
    <definedName name="_xlnm.Print_Titles" localSheetId="43">'CP ban quyen CN'!$5:$5</definedName>
    <definedName name="_xlnm.Print_Titles" localSheetId="45">'CP chay thu TB'!$5:$5</definedName>
    <definedName name="_xlnm.Print_Titles" localSheetId="44">'CP dao tao'!$5:$5</definedName>
    <definedName name="_xlnm.Print_Titles" localSheetId="46">'CP Thi nghiem TB'!$5:$5</definedName>
    <definedName name="_xlnm.Print_Titles" localSheetId="49">'Don gia LD'!$5:$5</definedName>
    <definedName name="_xlnm.Print_Titles" localSheetId="27">'Don gia XD'!$5:$5</definedName>
    <definedName name="_xlnm.Print_Titles" localSheetId="55">'Du thau LD'!$5:$5</definedName>
    <definedName name="_xlnm.Print_Titles" localSheetId="35">'Du thau XD'!$5:$5</definedName>
    <definedName name="_xlnm.Print_Titles" localSheetId="48">'Du toan LD'!$5:$6</definedName>
    <definedName name="_xlnm.Print_Titles" localSheetId="26">'Du toan XD'!$5:$6</definedName>
    <definedName name="_xlnm.Print_Titles" localSheetId="54">'Gia ca may LD'!$5:$6</definedName>
    <definedName name="_xlnm.Print_Titles" localSheetId="34">'Gia ca may XD'!$5:$6</definedName>
    <definedName name="_xlnm.Print_Titles" localSheetId="52">'Gia vat lieu HTLD'!$5:$6</definedName>
    <definedName name="_xlnm.Print_Titles" localSheetId="31">'Gia vua XD'!$5:$5</definedName>
    <definedName name="_xlnm.Print_Titles" localSheetId="40">'MS TBVT-TN'!$5:$5</definedName>
    <definedName name="_xlnm.Print_Titles" localSheetId="53">'Nhan cong LD'!$5:$6</definedName>
    <definedName name="_xlnm.Print_Titles" localSheetId="33">'Nhan cong XD'!$5:$6</definedName>
    <definedName name="_xlnm.Print_Titles" localSheetId="50">'TH vat tu LD'!$5:$5</definedName>
    <definedName name="_xlnm.Print_Titles" localSheetId="28">'TH vat tu XD'!$5:$5</definedName>
    <definedName name="_xlnm.Print_Titles" localSheetId="47">'THCP Lap dat'!$5:$5</definedName>
    <definedName name="_xlnm.Print_Titles" localSheetId="42">'Tho lai may'!$5:$6</definedName>
    <definedName name="_xlnm.Print_Titles" localSheetId="7">'TMDT-SVDT'!$5:$7</definedName>
    <definedName name="_xlnm.Print_Titles" localSheetId="56">'Xet thau LD'!$5:$5</definedName>
    <definedName name="_xlnm.Print_Titles" localSheetId="36">'Xet thau XD'!$5:$5</definedName>
    <definedName name="QLDAtt">'TMDT-SVDT'!$I$36</definedName>
    <definedName name="RATE_EUR" localSheetId="41">'MS TBVT-NN'!$M$2</definedName>
    <definedName name="RATE_USD" localSheetId="41">'MS TBVT-NN'!$M$3</definedName>
    <definedName name="ROUNDDG">Config!$C$103</definedName>
    <definedName name="ROUNDKL">Config!$C$104</definedName>
    <definedName name="RPLA" localSheetId="5" hidden="1">{"'Sheet1'!$L$16"}</definedName>
    <definedName name="RPLA" hidden="1">{"'Sheet1'!$L$16"}</definedName>
    <definedName name="sencount" hidden="1">2</definedName>
    <definedName name="ssd" localSheetId="5" hidden="1">{"Offgrid",#N/A,FALSE,"OFFGRID";"Region",#N/A,FALSE,"REGION";"Offgrid -2",#N/A,FALSE,"OFFGRID";"WTP",#N/A,FALSE,"WTP";"WTP -2",#N/A,FALSE,"WTP";"Project",#N/A,FALSE,"PROJECT";"Summary -2",#N/A,FALSE,"SUMMARY"}</definedName>
    <definedName name="ssd" hidden="1">{"Offgrid",#N/A,FALSE,"OFFGRID";"Region",#N/A,FALSE,"REGION";"Offgrid -2",#N/A,FALSE,"OFFGRID";"WTP",#N/A,FALSE,"WTP";"WTP -2",#N/A,FALSE,"WTP";"Project",#N/A,FALSE,"PROJECT";"Summary -2",#N/A,FALSE,"SUMMARY"}</definedName>
    <definedName name="ssssssss" hidden="1">{"Offgrid",#N/A,FALSE,"OFFGRID";"Region",#N/A,FALSE,"REGION";"Offgrid -2",#N/A,FALSE,"OFFGRID";"WTP",#N/A,FALSE,"WTP";"WTP -2",#N/A,FALSE,"WTP";"Project",#N/A,FALSE,"PROJECT";"Summary -2",#N/A,FALSE,"SUMMARY"}</definedName>
    <definedName name="tem" localSheetId="5" hidden="1">{"'Sheet1'!$L$16"}</definedName>
    <definedName name="tem" hidden="1">{"'Sheet1'!$L$16"}</definedName>
    <definedName name="tha" localSheetId="5" hidden="1">{"'Sheet1'!$L$16"}</definedName>
    <definedName name="tha" hidden="1">{"'Sheet1'!$L$16"}</definedName>
    <definedName name="THANH" localSheetId="5" hidden="1">{"'Sheet1'!$L$16"}</definedName>
    <definedName name="thanh" hidden="1">{"'Sheet1'!$L$16"}</definedName>
    <definedName name="THCP_C">'THCP xay dung'!$D$19</definedName>
    <definedName name="THCP_CPDP">'THCP xay dung'!$D$27</definedName>
    <definedName name="THCP_G">'THCP xay dung'!$D$24</definedName>
    <definedName name="THCP_GTGT">'THCP xay dung'!$D$25</definedName>
    <definedName name="THCP_GXD">'THCP xay dung'!$D$258</definedName>
    <definedName name="THCP_hsCPDP">'THCP xay dung'!$F$27</definedName>
    <definedName name="THCP_hsGTGT">'THCP xay dung'!$F$25</definedName>
    <definedName name="THCP_hsTL">'THCP xay dung'!$F$23</definedName>
    <definedName name="THCP_M">'THCP xay dung'!$D$248</definedName>
    <definedName name="THCP_NC">'THCP xay dung'!$D$247</definedName>
    <definedName name="THCP_T">'THCP xay dung'!$D$249</definedName>
    <definedName name="THCP_TL">'THCP xay dung'!$D$23</definedName>
    <definedName name="THCP_VL">'THCP xay dung'!$D$246</definedName>
    <definedName name="THKP_CPQLDA">'TH DTXD'!$A$23</definedName>
    <definedName name="THKPTB_CT">'THCP thiet bi'!$D$5</definedName>
    <definedName name="THKPTB_GTGT" localSheetId="39">'THCP thiet bi'!$F$5</definedName>
    <definedName name="THKPTB_ID" localSheetId="39">'THCP thiet bi'!$A$5</definedName>
    <definedName name="THKPTB_KH" localSheetId="39">'THCP thiet bi'!$H$5</definedName>
    <definedName name="THKPTB_NDCP" localSheetId="39">'THCP thiet bi'!$C$5</definedName>
    <definedName name="THKPTB_SAUTH" localSheetId="39">'THCP thiet bi'!$G$5</definedName>
    <definedName name="THKPTB_STT" localSheetId="39">'THCP thiet bi'!$B$5</definedName>
    <definedName name="THKPTB_TRCTH" localSheetId="39">'THCP thiet bi'!$E$5</definedName>
    <definedName name="THKPXD_CSPL" localSheetId="14">'TH DTXD'!$J$5</definedName>
    <definedName name="THKPXD_CT" localSheetId="14">'TH DTXD'!$E$5</definedName>
    <definedName name="THKPXD_GTGT" localSheetId="14">'TH DTXD'!$G$5</definedName>
    <definedName name="THKPXD_HS" localSheetId="14">'TH DTXD'!$D$5</definedName>
    <definedName name="THKPXD_ID" localSheetId="14">'TH DTXD'!$K$5</definedName>
    <definedName name="THKPXD_KH" localSheetId="14">'TH DTXD'!$I$5</definedName>
    <definedName name="THKPXD_NDCP" localSheetId="14">'TH DTXD'!$B$5</definedName>
    <definedName name="THKPXD_NT" localSheetId="14">'TH DTXD'!$C$5</definedName>
    <definedName name="THKPXD_SAUTH" localSheetId="14">'TH DTXD'!$H$5</definedName>
    <definedName name="THKPXD_STT" localSheetId="14">'TH DTXD'!$A$5</definedName>
    <definedName name="THKPXD_TRCTH" localSheetId="14">'TH DTXD'!$F$5</definedName>
    <definedName name="THLD_CPDP">'THCP Lap dat'!$D$27</definedName>
    <definedName name="THLD_G">'THCP Lap dat'!$D$24</definedName>
    <definedName name="THLD_GLD">'THCP Lap dat'!$D$26</definedName>
    <definedName name="THLD_GTGT">'THCP Lap dat'!$D$25</definedName>
    <definedName name="THLD_hsCPDP">'THCP Lap dat'!$F$27</definedName>
    <definedName name="THLD_hsGTGT">'THCP Lap dat'!$F$25</definedName>
    <definedName name="THLD_hsTL">'THCP Lap dat'!$F$23</definedName>
    <definedName name="THLD_M">'THCP Lap dat'!$D$16</definedName>
    <definedName name="THLD_NC">'THCP Lap dat'!$D$15</definedName>
    <definedName name="THLD_T">'THCP Lap dat'!$D$46</definedName>
    <definedName name="THLD_TL">'THCP Lap dat'!$D$23</definedName>
    <definedName name="THLD_VL">'THCP Lap dat'!$D$14</definedName>
    <definedName name="thng" localSheetId="5" hidden="1">{#N/A,#N/A,FALSE,"Chi tiÆt"}</definedName>
    <definedName name="thng" hidden="1">{#N/A,#N/A,FALSE,"Chi tiÆt"}</definedName>
    <definedName name="THTB_CL">'TH vat tu LD'!$H$5</definedName>
    <definedName name="THTB_CLK">'TH vat tu LD'!$M$5</definedName>
    <definedName name="THTB_DV">'TH vat tu LD'!$D$5</definedName>
    <definedName name="THTB_GG">'TH vat tu LD'!$F$5</definedName>
    <definedName name="THTB_GHT">'TH vat tu LD'!$G$5</definedName>
    <definedName name="THTB_GVTTT">'TH vat tu LD'!$J$5</definedName>
    <definedName name="THTB_KL">'TH vat tu LD'!$E$5</definedName>
    <definedName name="THTB_KLK">'TH vat tu LD'!$L$5</definedName>
    <definedName name="THTB_MSVT">'TH vat tu LD'!$B$5</definedName>
    <definedName name="THTB_NG">'TH vat tu LD'!$K$5</definedName>
    <definedName name="THTB_STT">'TH vat tu LD'!$A$5</definedName>
    <definedName name="THTB_TEN">'TH vat tu LD'!$C$5</definedName>
    <definedName name="THTB_TT">'TH vat tu LD'!$I$5</definedName>
    <definedName name="THTB_TTK">'TH vat tu LD'!$N$5</definedName>
    <definedName name="thu" localSheetId="5" hidden="1">{"'Sheet1'!$L$16"}</definedName>
    <definedName name="thu" hidden="1">{"'Sheet1'!$L$16"}</definedName>
    <definedName name="thuy" localSheetId="5" hidden="1">{"'Sheet1'!$L$16"}</definedName>
    <definedName name="thuy" hidden="1">{"'Sheet1'!$L$16"}</definedName>
    <definedName name="THXD_CL">'TH vat tu XD'!$H$5</definedName>
    <definedName name="THXD_CLK">'TH vat tu XD'!$O$5</definedName>
    <definedName name="THXD_DV">'TH vat tu XD'!$D$5</definedName>
    <definedName name="THXD_GG">'TH vat tu XD'!$F$5</definedName>
    <definedName name="THXD_GHT">'TH vat tu XD'!$G$5</definedName>
    <definedName name="THXD_GVTTT">'TH vat tu XD'!$J$5</definedName>
    <definedName name="THXD_KL">'TH vat tu XD'!$E$5</definedName>
    <definedName name="THXD_KLK">'TH vat tu XD'!$N$5</definedName>
    <definedName name="THXD_MSVT">'TH vat tu XD'!$B$5</definedName>
    <definedName name="THXD_NG">'TH vat tu XD'!$M$5</definedName>
    <definedName name="THXD_STT">'TH vat tu XD'!$A$5</definedName>
    <definedName name="THXD_TEN">'TH vat tu XD'!$C$5</definedName>
    <definedName name="THXD_TT">'TH vat tu XD'!$I$5</definedName>
    <definedName name="THXD_TTK">'TH vat tu XD'!$P$5</definedName>
    <definedName name="TK_CHD">'Thong ke thep'!$L$6</definedName>
    <definedName name="TK_CHD1">'Thong ke thep'!$N$6</definedName>
    <definedName name="TK_DK">'Thong ke thep'!$I$5</definedName>
    <definedName name="TK_HD">'Thong ke thep'!$E$5</definedName>
    <definedName name="TK_SCK">'Thong ke thep'!$J$5</definedName>
    <definedName name="TK_SH">'Thong ke thep'!$C$5</definedName>
    <definedName name="TK_STH">'Thong ke thep'!$K$6</definedName>
    <definedName name="TK_STH1">'Thong ke thep'!$M$6</definedName>
    <definedName name="TK_T">'Thong ke thep'!$O$5</definedName>
    <definedName name="TK_TEN">'Thong ke thep'!$B$5</definedName>
    <definedName name="TL_BCNCKT">DMTL!$T$39</definedName>
    <definedName name="TL_BCNCTKT1">DMTL!$T$29</definedName>
    <definedName name="TL_CPGSKS">DMTL!$T$306</definedName>
    <definedName name="TL_GSTB">DMTL!$T$296</definedName>
    <definedName name="TL_GSXD">DMTL!$T$286</definedName>
    <definedName name="TL_HSMTTB">DMTL!$T$276</definedName>
    <definedName name="TL_HSMTTV1">DMTL!$T$260</definedName>
    <definedName name="TL_HSMTXD">DMTL!$T$266</definedName>
    <definedName name="TL_Ktoan">DMTL!$T$319</definedName>
    <definedName name="TL_LDA_BCKTKT">DMTL!$T$49</definedName>
    <definedName name="TL_PTDDTXD">DMTL!$T$347</definedName>
    <definedName name="TL_PTDTKKT">DMTL!$T$338</definedName>
    <definedName name="TL_QDV">DMTL!$T$312</definedName>
    <definedName name="TL_TDDA">DMTL!$T$331</definedName>
    <definedName name="TL_TKBVTC">DMTL!$Q$52</definedName>
    <definedName name="TL_TKKT">DMTL!$Q$51</definedName>
    <definedName name="TL_TTHQKT">DMTL!$T$230</definedName>
    <definedName name="TL_TTraDT">DMTL!$T$250</definedName>
    <definedName name="TL_TTraQTV">DMTL!$T$325</definedName>
    <definedName name="TL_TTraTK">DMTL!$T$240</definedName>
    <definedName name="TMDT">Ts!$M$33</definedName>
    <definedName name="TMDT_CPTB">Ts!$M$27</definedName>
    <definedName name="TMDT_CPXD">Ts!$M$26</definedName>
    <definedName name="TMDT_SVDT_CT" localSheetId="7">'TMDT-SVDT'!$E$5</definedName>
    <definedName name="TMDT_SVDT_DMTL" localSheetId="7">'TMDT-SVDT'!#REF!</definedName>
    <definedName name="TMDT_SVDT_DV" localSheetId="7">'TMDT-SVDT'!$H$5</definedName>
    <definedName name="TMDT_SVDT_GC" localSheetId="7">'TMDT-SVDT'!$M$5</definedName>
    <definedName name="TMDT_SVDT_HS" localSheetId="7">'TMDT-SVDT'!#REF!</definedName>
    <definedName name="TMDT_SVDT_ID" localSheetId="7">'TMDT-SVDT'!$A$5</definedName>
    <definedName name="TMDT_SVDT_KH" localSheetId="7">'TMDT-SVDT'!$L$5</definedName>
    <definedName name="TMDT_SVDT_KL" localSheetId="7">'TMDT-SVDT'!$F$5</definedName>
    <definedName name="TMDT_SVDT_MH" localSheetId="7">'TMDT-SVDT'!$C$5</definedName>
    <definedName name="TMDT_SVDT_ND" localSheetId="7">'TMDT-SVDT'!$D$5</definedName>
    <definedName name="TMDT_SVDT_STHUE" localSheetId="7">'TMDT-SVDT'!$K$6</definedName>
    <definedName name="TMDT_SVDT_STT" localSheetId="7">'TMDT-SVDT'!$B$5</definedName>
    <definedName name="TMDT_SVDT_SVDT" localSheetId="7">'TMDT-SVDT'!$G$5</definedName>
    <definedName name="TMDT_SVDT_TGTTT" localSheetId="7">'TMDT-SVDT'!$J$6</definedName>
    <definedName name="TMDT_SVDT_TRCT" localSheetId="7">'TMDT-SVDT'!$I$6</definedName>
    <definedName name="TMDTSLT">'TMDT-SVDT'!$P$147</definedName>
    <definedName name="TMDTTT">'TMDT-SVDT'!$P$145</definedName>
    <definedName name="TPCP_hsCPC">'THCP xay dung'!$F$19</definedName>
    <definedName name="TPLD_hsCPC">'THCP Lap dat'!$F$19</definedName>
    <definedName name="TS_BT" localSheetId="0">Config!$C$10</definedName>
    <definedName name="TS_CP">Config!$C$16</definedName>
    <definedName name="TS_CTNG" localSheetId="0">Config!$C$14</definedName>
    <definedName name="TS_DG" localSheetId="0">Config!$C$12</definedName>
    <definedName name="TS_DGDT" localSheetId="0">Config!$C$20</definedName>
    <definedName name="TS_DGGVT" localSheetId="0">Config!$C$19</definedName>
    <definedName name="TS_DGTH" localSheetId="0">Config!$C$18</definedName>
    <definedName name="TS_DMNC" localSheetId="0">Config!$C$29</definedName>
    <definedName name="TS_DPLV" localSheetId="0">Config!$C$7</definedName>
    <definedName name="TS_DTB" localSheetId="0">Config!$C$30</definedName>
    <definedName name="TS_EXCEL" localSheetId="0">Config!$AR$33</definedName>
    <definedName name="TS_GVTM" localSheetId="0">Config!$C$27</definedName>
    <definedName name="TS_GVTNC" localSheetId="0">Config!$C$26</definedName>
    <definedName name="TS_GVTPLV" localSheetId="0">Config!$C$28</definedName>
    <definedName name="TS_GVTVL" localSheetId="0">Config!$C$25</definedName>
    <definedName name="TS_HS_VL1">Ts!$N$37</definedName>
    <definedName name="TS_HSDG" localSheetId="0">Config!$C$13</definedName>
    <definedName name="TS_KS" localSheetId="0">Config!$C$15</definedName>
    <definedName name="TS_KXDL" localSheetId="0">Config!$C$32</definedName>
    <definedName name="TS_LDT" localSheetId="0">Config!$C$31</definedName>
    <definedName name="TS_NNC" localSheetId="0">Config!$C$6</definedName>
    <definedName name="TS_PTV" localSheetId="0">Config!$C$11</definedName>
    <definedName name="TS_TGCM" localSheetId="0">Config!$C$17</definedName>
    <definedName name="TS_TH" localSheetId="0">Config!$C$9</definedName>
    <definedName name="TS_THM" localSheetId="0">Config!$C$23</definedName>
    <definedName name="TS_THNC" localSheetId="0">Config!$C$22</definedName>
    <definedName name="TS_THPLV" localSheetId="0">Config!$C$24</definedName>
    <definedName name="TS_THVL" localSheetId="0">Config!$C$21</definedName>
    <definedName name="TS_TL" localSheetId="0">Config!$C$5</definedName>
    <definedName name="TS_TRC" localSheetId="0">Config!$C$4</definedName>
    <definedName name="TS_TT" localSheetId="0">Config!$C$33</definedName>
    <definedName name="TS_TVLHT" localSheetId="0">Config!$C$8</definedName>
    <definedName name="TS_VUA" localSheetId="0">Config!$D$34</definedName>
    <definedName name="TT_TTBCNCTKT1">DMTL!$T$220</definedName>
    <definedName name="TVDT">Ts!$M$34</definedName>
    <definedName name="UBDT" hidden="1">{"'Sheet1'!$L$16"}</definedName>
    <definedName name="vcbo1" localSheetId="5" hidden="1">{"'Sheet1'!$L$16"}</definedName>
    <definedName name="vcbo1" hidden="1">{"'Sheet1'!$L$16"}</definedName>
    <definedName name="VLTB_CL">'Gia vat lieu HTLD'!$N$5</definedName>
    <definedName name="VLTB_CLYHT">'Gia vat lieu HTLD'!$AG$6</definedName>
    <definedName name="VLTB_CPBX">'Gia vat lieu HTLD'!$Q$6</definedName>
    <definedName name="VLTB_CPBXHT">'Gia vat lieu HTLD'!$AW$6</definedName>
    <definedName name="VLTB_CPHH">'Gia vat lieu HTLD'!$S$6</definedName>
    <definedName name="VLTB_CPHHBQ">'Gia vat lieu HTLD'!$U$6</definedName>
    <definedName name="VLTB_CPVC">'Gia vat lieu HTLD'!$AK$5</definedName>
    <definedName name="VLTB_CPVCNB">'Gia vat lieu HTLD'!$AX$6</definedName>
    <definedName name="VLTB_DMBX">'Gia vat lieu HTLD'!$P$6</definedName>
    <definedName name="VLTB_DMBXHT">'Gia vat lieu HTLD'!$AS$6</definedName>
    <definedName name="VLTB_DMHH">'Gia vat lieu HTLD'!$R$6</definedName>
    <definedName name="VLTB_DMHHBQ">'Gia vat lieu HTLD'!$T$6</definedName>
    <definedName name="VLTB_DMVC10T">'Gia vat lieu HTLD'!$AQ$6</definedName>
    <definedName name="VLTB_DMVCB10">'Gia vat lieu HTLD'!$AO$6</definedName>
    <definedName name="VLTB_DV">'Gia vat lieu HTLD'!$D$5</definedName>
    <definedName name="VLTB_GC">'Gia vat lieu HTLD'!$Z$5</definedName>
    <definedName name="VLTB_GG">'Gia vat lieu HTLD'!$K$5</definedName>
    <definedName name="VLTB_GHT">'Gia vat lieu HTLD'!$BA$5</definedName>
    <definedName name="VLTB_GVLCCT">'Gia vat lieu HTLD'!$AA$5</definedName>
    <definedName name="VLTB_HSBH">'Gia vat lieu HTLD'!$O$5</definedName>
    <definedName name="VLTB_HSDB">'Gia vat lieu HTLD'!$AJ$5</definedName>
    <definedName name="VLTB_LD">'Gia vat lieu HTLD'!$M$5</definedName>
    <definedName name="VLTB_LVL">'Gia vat lieu HTLD'!$C$5</definedName>
    <definedName name="VLTB_MH">'Gia vat lieu HTLD'!$B$5</definedName>
    <definedName name="VLTB_NM">'Gia vat lieu HTLD'!$I$5</definedName>
    <definedName name="VLTB_PTVC">'Gia vat lieu HTLD'!$J$5</definedName>
    <definedName name="VLTB_STT">'Gia vat lieu HTLD'!$A$5</definedName>
    <definedName name="VLTB_TLDV">'Gia vat lieu HTLD'!$E$5</definedName>
    <definedName name="VLXD_DV">'Gia vat lieu HTXD'!$D$5:$D$6</definedName>
    <definedName name="VLXD_GG">'Gia vat lieu HTXD'!$K$5</definedName>
    <definedName name="VLXD_GHT">'Gia vat lieu HTXD'!$BA$5:$BA$6</definedName>
    <definedName name="VLXD_LVL">'Gia vat lieu HTXD'!$C$5</definedName>
    <definedName name="VLXD_MH">'Gia vat lieu HTXD'!$B$5:$B$6</definedName>
    <definedName name="VLXD_NC">'Gia vat lieu HTXD'!$I$4</definedName>
    <definedName name="VLXD_NM">'Gia vat lieu HTXD'!$I$5</definedName>
    <definedName name="VLXD_STT">'Gia vat lieu HTXD'!$A$5:$A$6</definedName>
    <definedName name="vvvvvvv" hidden="1">{#N/A,#N/A,FALSE,"Chi tiÆt"}</definedName>
    <definedName name="wrn.aaa." hidden="1">{#N/A,#N/A,FALSE,"Sheet1";#N/A,#N/A,FALSE,"Sheet1";#N/A,#N/A,FALSE,"Sheet1"}</definedName>
    <definedName name="wrn.chi._.tiÆt." localSheetId="5" hidden="1">{#N/A,#N/A,FALSE,"Chi tiÆt"}</definedName>
    <definedName name="wrn.chi._.tiÆt." hidden="1">{#N/A,#N/A,FALSE,"Chi tiÆt"}</definedName>
    <definedName name="wrn.cong." hidden="1">{#N/A,#N/A,FALSE,"Sheet1"}</definedName>
    <definedName name="wrn.Monthly._.Statement." localSheetId="5" hidden="1">{#N/A,#N/A,FALSE,"Tabelle2";#N/A,#N/A,FALSE,"Tabelle1"}</definedName>
    <definedName name="wrn.Monthly._.Statement." hidden="1">{#N/A,#N/A,FALSE,"Tabelle2";#N/A,#N/A,FALSE,"Tabelle1"}</definedName>
    <definedName name="wrn.Report." localSheetId="5"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f.report" localSheetId="5" hidden="1">{"Offgrid",#N/A,FALSE,"OFFGRID";"Region",#N/A,FALSE,"REGION";"Offgrid -2",#N/A,FALSE,"OFFGRID";"WTP",#N/A,FALSE,"WTP";"WTP -2",#N/A,FALSE,"WTP";"Project",#N/A,FALSE,"PROJECT";"Summary -2",#N/A,FALSE,"SUMMARY"}</definedName>
    <definedName name="wrnf.report" hidden="1">{"Offgrid",#N/A,FALSE,"OFFGRID";"Region",#N/A,FALSE,"REGION";"Offgrid -2",#N/A,FALSE,"OFFGRID";"WTP",#N/A,FALSE,"WTP";"WTP -2",#N/A,FALSE,"WTP";"Project",#N/A,FALSE,"PROJECT";"Summary -2",#N/A,FALSE,"SUMMARY"}</definedName>
    <definedName name="wwwwwww" hidden="1">{"Offgrid",#N/A,FALSE,"OFFGRID";"Region",#N/A,FALSE,"REGION";"Offgrid -2",#N/A,FALSE,"OFFGRID";"WTP",#N/A,FALSE,"WTP";"WTP -2",#N/A,FALSE,"WTP";"Project",#N/A,FALSE,"PROJECT";"Summary -2",#N/A,FALSE,"SUMMARY"}</definedName>
    <definedName name="xang">Ts!$N$71</definedName>
    <definedName name="zDT_End" hidden="1">'Du toan XD'!$B$332</definedName>
  </definedNames>
  <calcPr calcId="162913"/>
</workbook>
</file>

<file path=xl/calcChain.xml><?xml version="1.0" encoding="utf-8"?>
<calcChain xmlns="http://schemas.openxmlformats.org/spreadsheetml/2006/main">
  <c r="N72" i="5" l="1"/>
  <c r="N71" i="5"/>
  <c r="R86" i="17" l="1"/>
  <c r="U86" i="17"/>
  <c r="G86" i="17"/>
  <c r="Q86" i="17" s="1"/>
  <c r="A81" i="17"/>
  <c r="R77" i="17"/>
  <c r="U77" i="17"/>
  <c r="G77" i="17"/>
  <c r="Q77" i="17" s="1"/>
  <c r="R76" i="17"/>
  <c r="U76" i="17"/>
  <c r="G76" i="17"/>
  <c r="Q76" i="17" s="1"/>
  <c r="R75" i="17"/>
  <c r="U75" i="17"/>
  <c r="G75" i="17"/>
  <c r="Q75" i="17" s="1"/>
  <c r="A70" i="17"/>
  <c r="R66" i="17"/>
  <c r="U66" i="17"/>
  <c r="G66" i="17"/>
  <c r="Q66" i="17" s="1"/>
  <c r="R65" i="17"/>
  <c r="U65" i="17"/>
  <c r="G65" i="17"/>
  <c r="Q65" i="17" s="1"/>
  <c r="A60" i="17"/>
  <c r="R56" i="17"/>
  <c r="U56" i="17"/>
  <c r="G56" i="17"/>
  <c r="Q56" i="17" s="1"/>
  <c r="G14" i="42"/>
  <c r="H14" i="42" s="1"/>
  <c r="R55" i="17"/>
  <c r="U55" i="17"/>
  <c r="G55" i="17"/>
  <c r="Q55" i="17" s="1"/>
  <c r="A50" i="17"/>
  <c r="R46" i="17"/>
  <c r="U46" i="17"/>
  <c r="G46" i="17"/>
  <c r="Q46" i="17" s="1"/>
  <c r="A41" i="17"/>
  <c r="R37" i="17"/>
  <c r="U37" i="17"/>
  <c r="G37" i="17"/>
  <c r="Q37" i="17" s="1"/>
  <c r="R36" i="17"/>
  <c r="U36" i="17"/>
  <c r="G36" i="17"/>
  <c r="Q36" i="17" s="1"/>
  <c r="R35" i="17"/>
  <c r="U35" i="17"/>
  <c r="G35" i="17"/>
  <c r="Q35" i="17" s="1"/>
  <c r="R34" i="17"/>
  <c r="U34" i="17"/>
  <c r="G34" i="17"/>
  <c r="Q34" i="17" s="1"/>
  <c r="R33" i="17"/>
  <c r="U33" i="17"/>
  <c r="G33" i="17"/>
  <c r="Q33" i="17" s="1"/>
  <c r="A28" i="17"/>
  <c r="R24" i="17"/>
  <c r="U24" i="17"/>
  <c r="G24" i="17"/>
  <c r="Q24" i="17" s="1"/>
  <c r="R23" i="17"/>
  <c r="U23" i="17"/>
  <c r="G23" i="17"/>
  <c r="Q23" i="17" s="1"/>
  <c r="R22" i="17"/>
  <c r="U22" i="17"/>
  <c r="G22" i="17"/>
  <c r="Q22" i="17" s="1"/>
  <c r="R21" i="17"/>
  <c r="U21" i="17"/>
  <c r="G21" i="17"/>
  <c r="Q21" i="17" s="1"/>
  <c r="R20" i="17"/>
  <c r="U20" i="17"/>
  <c r="G20" i="17"/>
  <c r="Q20" i="17" s="1"/>
  <c r="R19" i="17"/>
  <c r="U19" i="17"/>
  <c r="G19" i="17"/>
  <c r="Q19" i="17" s="1"/>
  <c r="A14" i="17"/>
  <c r="Q10" i="17"/>
  <c r="R10" i="17"/>
  <c r="U10" i="17"/>
  <c r="G10" i="17"/>
  <c r="G13" i="42"/>
  <c r="H13" i="42" s="1"/>
  <c r="R9" i="17"/>
  <c r="U9" i="17"/>
  <c r="G9" i="17"/>
  <c r="Q9" i="17" s="1"/>
  <c r="G12" i="42"/>
  <c r="H12" i="42" s="1"/>
  <c r="Q8" i="17"/>
  <c r="R8" i="17"/>
  <c r="U8" i="17"/>
  <c r="G8" i="17"/>
  <c r="G68" i="16"/>
  <c r="H68" i="16" s="1"/>
  <c r="G196" i="46" s="1"/>
  <c r="A63" i="16"/>
  <c r="G60" i="16"/>
  <c r="H60" i="16" s="1"/>
  <c r="G165" i="46" s="1"/>
  <c r="A55" i="16"/>
  <c r="G52" i="16"/>
  <c r="H52" i="16" s="1"/>
  <c r="G144" i="46" s="1"/>
  <c r="G51" i="16"/>
  <c r="H51" i="16" s="1"/>
  <c r="G143" i="46" s="1"/>
  <c r="A46" i="16"/>
  <c r="G43" i="16"/>
  <c r="H43" i="16" s="1"/>
  <c r="G117" i="46" s="1"/>
  <c r="G42" i="16"/>
  <c r="H42" i="16" s="1"/>
  <c r="G116" i="46" s="1"/>
  <c r="A37" i="16"/>
  <c r="G34" i="16"/>
  <c r="H34" i="16" s="1"/>
  <c r="G96" i="46" s="1"/>
  <c r="A29" i="16"/>
  <c r="G26" i="16"/>
  <c r="H26" i="16" s="1"/>
  <c r="G75" i="46" s="1"/>
  <c r="G25" i="16"/>
  <c r="H25" i="16" s="1"/>
  <c r="G74" i="46" s="1"/>
  <c r="A20" i="16"/>
  <c r="G17" i="16"/>
  <c r="H17" i="16" s="1"/>
  <c r="G43" i="46" s="1"/>
  <c r="G16" i="16"/>
  <c r="H16" i="16" s="1"/>
  <c r="G42" i="46" s="1"/>
  <c r="A11" i="16"/>
  <c r="G8" i="16"/>
  <c r="H8" i="16" s="1"/>
  <c r="G10" i="46" s="1"/>
  <c r="T76" i="17" l="1"/>
  <c r="T35" i="17"/>
  <c r="T22" i="17"/>
  <c r="T55" i="17"/>
  <c r="T9" i="17"/>
  <c r="T56" i="17"/>
  <c r="T37" i="17"/>
  <c r="T24" i="17"/>
  <c r="T8" i="17"/>
  <c r="T33" i="17"/>
  <c r="T66" i="17"/>
  <c r="T46" i="17"/>
  <c r="T20" i="17"/>
  <c r="T36" i="17"/>
  <c r="T23" i="17"/>
  <c r="T19" i="17"/>
  <c r="T75" i="17"/>
  <c r="T34" i="17"/>
  <c r="T21" i="17"/>
  <c r="N198" i="46" l="1"/>
  <c r="N196" i="46"/>
  <c r="K921" i="13"/>
  <c r="A174" i="46"/>
  <c r="N165" i="46"/>
  <c r="A151" i="46"/>
  <c r="N147" i="46"/>
  <c r="N146" i="46"/>
  <c r="N144" i="46"/>
  <c r="P144" i="46" s="1"/>
  <c r="H143" i="46"/>
  <c r="N143" i="46"/>
  <c r="P143" i="46" s="1"/>
  <c r="P142" i="46" s="1"/>
  <c r="A124" i="46"/>
  <c r="N120" i="46"/>
  <c r="N119" i="46"/>
  <c r="N117" i="46"/>
  <c r="K521" i="13"/>
  <c r="P116" i="46"/>
  <c r="H116" i="46"/>
  <c r="O116" i="46" s="1"/>
  <c r="N116" i="46"/>
  <c r="N110" i="46"/>
  <c r="N108" i="46"/>
  <c r="A102" i="46"/>
  <c r="N98" i="46"/>
  <c r="N96" i="46"/>
  <c r="P96" i="46"/>
  <c r="P95" i="46" s="1"/>
  <c r="A85" i="46"/>
  <c r="N81" i="46"/>
  <c r="N80" i="46"/>
  <c r="N79" i="46"/>
  <c r="N78" i="46"/>
  <c r="N77" i="46"/>
  <c r="N75" i="46"/>
  <c r="K309" i="13"/>
  <c r="N74" i="46"/>
  <c r="P74" i="46"/>
  <c r="N70" i="46"/>
  <c r="N69" i="46"/>
  <c r="N68" i="46"/>
  <c r="N67" i="46"/>
  <c r="N62" i="46"/>
  <c r="A54" i="46"/>
  <c r="N50" i="46"/>
  <c r="N49" i="46"/>
  <c r="N48" i="46"/>
  <c r="N47" i="46"/>
  <c r="N46" i="46"/>
  <c r="N45" i="46"/>
  <c r="N43" i="46"/>
  <c r="P43" i="46" s="1"/>
  <c r="H42" i="46"/>
  <c r="N42" i="46"/>
  <c r="P42" i="46" s="1"/>
  <c r="N38" i="46"/>
  <c r="N37" i="46"/>
  <c r="N36" i="46"/>
  <c r="N35" i="46"/>
  <c r="N30" i="46"/>
  <c r="N28" i="46"/>
  <c r="N27" i="46"/>
  <c r="N24" i="46"/>
  <c r="A19" i="46"/>
  <c r="N14" i="46"/>
  <c r="N13" i="46"/>
  <c r="N10" i="46"/>
  <c r="N8" i="46"/>
  <c r="P41" i="46" l="1"/>
  <c r="P62" i="46"/>
  <c r="O42" i="46"/>
  <c r="O143" i="46"/>
  <c r="K26" i="13"/>
  <c r="K74" i="13"/>
  <c r="K42" i="13"/>
  <c r="K10" i="13"/>
  <c r="H10" i="46"/>
  <c r="O10" i="46" s="1"/>
  <c r="O9" i="46" s="1"/>
  <c r="P10" i="46"/>
  <c r="P9" i="46" s="1"/>
  <c r="K243" i="13"/>
  <c r="K264" i="13"/>
  <c r="K306" i="13"/>
  <c r="H90" i="46"/>
  <c r="H96" i="46"/>
  <c r="K477" i="13"/>
  <c r="K159" i="13"/>
  <c r="K98" i="13"/>
  <c r="K120" i="13"/>
  <c r="K179" i="13"/>
  <c r="K142" i="13"/>
  <c r="H43" i="46"/>
  <c r="O43" i="46" s="1"/>
  <c r="O41" i="46" s="1"/>
  <c r="H64" i="46"/>
  <c r="H68" i="46"/>
  <c r="O68" i="46" s="1"/>
  <c r="H74" i="46"/>
  <c r="O74" i="46" s="1"/>
  <c r="K434" i="13"/>
  <c r="K460" i="13"/>
  <c r="K417" i="13"/>
  <c r="K439" i="13"/>
  <c r="M439" i="13" s="1"/>
  <c r="M438" i="13" s="1"/>
  <c r="K202" i="13"/>
  <c r="K225" i="13"/>
  <c r="K305" i="13"/>
  <c r="K244" i="13"/>
  <c r="K369" i="13"/>
  <c r="K332" i="13"/>
  <c r="K392" i="13"/>
  <c r="M392" i="13" s="1"/>
  <c r="M391" i="13" s="1"/>
  <c r="K349" i="13"/>
  <c r="K286" i="13"/>
  <c r="K249" i="13"/>
  <c r="K266" i="13"/>
  <c r="H75" i="46"/>
  <c r="P75" i="46"/>
  <c r="P73" i="46" s="1"/>
  <c r="K815" i="13"/>
  <c r="K790" i="13"/>
  <c r="K501" i="13"/>
  <c r="K482" i="13"/>
  <c r="H117" i="46"/>
  <c r="P117" i="46"/>
  <c r="P115" i="46" s="1"/>
  <c r="K663" i="13"/>
  <c r="K562" i="13"/>
  <c r="K645" i="13"/>
  <c r="K541" i="13"/>
  <c r="H144" i="46"/>
  <c r="O144" i="46" s="1"/>
  <c r="K604" i="13"/>
  <c r="M604" i="13" s="1"/>
  <c r="M603" i="13" s="1"/>
  <c r="K685" i="13"/>
  <c r="K583" i="13"/>
  <c r="K708" i="13"/>
  <c r="K625" i="13"/>
  <c r="K578" i="13"/>
  <c r="H165" i="46"/>
  <c r="P165" i="46"/>
  <c r="P164" i="46" s="1"/>
  <c r="H196" i="46"/>
  <c r="P196" i="46"/>
  <c r="P195" i="46" s="1"/>
  <c r="K833" i="13"/>
  <c r="K956" i="13"/>
  <c r="K990" i="13"/>
  <c r="K1024" i="13"/>
  <c r="K1058" i="13"/>
  <c r="K1092" i="13"/>
  <c r="K869" i="13"/>
  <c r="K903" i="13"/>
  <c r="K939" i="13"/>
  <c r="K973" i="13"/>
  <c r="K1007" i="13"/>
  <c r="K1041" i="13"/>
  <c r="K1075" i="13"/>
  <c r="K1109" i="13"/>
  <c r="K852" i="13"/>
  <c r="K886" i="13"/>
  <c r="A332" i="10"/>
  <c r="G915" i="13"/>
  <c r="B915" i="13"/>
  <c r="M583" i="13"/>
  <c r="M582" i="13" s="1"/>
  <c r="J580" i="13"/>
  <c r="J579" i="13"/>
  <c r="J578" i="13"/>
  <c r="H576" i="13"/>
  <c r="G576" i="13"/>
  <c r="B576" i="13"/>
  <c r="J601" i="13"/>
  <c r="J600" i="13"/>
  <c r="J599" i="13"/>
  <c r="H597" i="13"/>
  <c r="G597" i="13"/>
  <c r="B597" i="13"/>
  <c r="M625" i="13"/>
  <c r="M624" i="13" s="1"/>
  <c r="J622" i="13"/>
  <c r="J621" i="13"/>
  <c r="J620" i="13"/>
  <c r="H618" i="13"/>
  <c r="G618" i="13"/>
  <c r="B618" i="13"/>
  <c r="M562" i="13"/>
  <c r="M561" i="13" s="1"/>
  <c r="J559" i="13"/>
  <c r="J558" i="13"/>
  <c r="J557" i="13"/>
  <c r="H555" i="13"/>
  <c r="G555" i="13"/>
  <c r="B555" i="13"/>
  <c r="M541" i="13"/>
  <c r="M540" i="13" s="1"/>
  <c r="J538" i="13"/>
  <c r="J537" i="13"/>
  <c r="J536" i="13"/>
  <c r="H534" i="13"/>
  <c r="G534" i="13"/>
  <c r="B534" i="13"/>
  <c r="M460" i="13"/>
  <c r="M459" i="13" s="1"/>
  <c r="R453" i="13" s="1"/>
  <c r="J457" i="13"/>
  <c r="J456" i="13"/>
  <c r="J455" i="13"/>
  <c r="H453" i="13"/>
  <c r="G453" i="13"/>
  <c r="B453" i="13"/>
  <c r="J435" i="13"/>
  <c r="J434" i="13"/>
  <c r="J433" i="13"/>
  <c r="H431" i="13"/>
  <c r="G431" i="13"/>
  <c r="B431" i="13"/>
  <c r="M417" i="13"/>
  <c r="M416" i="13" s="1"/>
  <c r="J413" i="13"/>
  <c r="J412" i="13"/>
  <c r="J411" i="13"/>
  <c r="H409" i="13"/>
  <c r="G409" i="13"/>
  <c r="B409" i="13"/>
  <c r="J389" i="13"/>
  <c r="J388" i="13"/>
  <c r="J387" i="13"/>
  <c r="J386" i="13"/>
  <c r="H384" i="13"/>
  <c r="G384" i="13"/>
  <c r="B384" i="13"/>
  <c r="M309" i="13"/>
  <c r="M308" i="13" s="1"/>
  <c r="K132" i="10" s="1"/>
  <c r="J306" i="13"/>
  <c r="J305" i="13"/>
  <c r="J304" i="13"/>
  <c r="J303" i="13"/>
  <c r="H301" i="13"/>
  <c r="G301" i="13"/>
  <c r="B301" i="13"/>
  <c r="M225" i="13"/>
  <c r="M224" i="13" s="1"/>
  <c r="J222" i="13"/>
  <c r="J221" i="13"/>
  <c r="J220" i="13"/>
  <c r="J219" i="13"/>
  <c r="H217" i="13"/>
  <c r="G217" i="13"/>
  <c r="B217" i="13"/>
  <c r="M202" i="13"/>
  <c r="M201" i="13" s="1"/>
  <c r="J199" i="13"/>
  <c r="J198" i="13"/>
  <c r="J197" i="13"/>
  <c r="J196" i="13"/>
  <c r="H194" i="13"/>
  <c r="G194" i="13"/>
  <c r="B194" i="13"/>
  <c r="AM2" i="17"/>
  <c r="AL2" i="17"/>
  <c r="G11" i="42"/>
  <c r="H11" i="42" s="1"/>
  <c r="G9" i="42"/>
  <c r="H9" i="42" s="1"/>
  <c r="G8" i="42"/>
  <c r="H8" i="42" s="1"/>
  <c r="AA131" i="14"/>
  <c r="BA131" i="14"/>
  <c r="G193" i="46" s="1"/>
  <c r="K1106" i="13" s="1"/>
  <c r="AA130" i="14"/>
  <c r="BA130" i="14"/>
  <c r="AA129" i="14"/>
  <c r="BA129" i="14"/>
  <c r="G191" i="46" s="1"/>
  <c r="AA128" i="14"/>
  <c r="BA128" i="14"/>
  <c r="AA127" i="14"/>
  <c r="BA127" i="14"/>
  <c r="G189" i="46" s="1"/>
  <c r="AA126" i="14"/>
  <c r="BA126" i="14"/>
  <c r="G188" i="46" s="1"/>
  <c r="AA125" i="14"/>
  <c r="BA125" i="14"/>
  <c r="G187" i="46" s="1"/>
  <c r="AA124" i="14"/>
  <c r="BA124" i="14"/>
  <c r="G186" i="46" s="1"/>
  <c r="AA123" i="14"/>
  <c r="BA123" i="14"/>
  <c r="G185" i="46" s="1"/>
  <c r="AA122" i="14"/>
  <c r="BA122" i="14"/>
  <c r="G184" i="46" s="1"/>
  <c r="AA121" i="14"/>
  <c r="BA121" i="14"/>
  <c r="G183" i="46" s="1"/>
  <c r="AA120" i="14"/>
  <c r="BA120" i="14"/>
  <c r="G182" i="46" s="1"/>
  <c r="AA119" i="14"/>
  <c r="BA119" i="14"/>
  <c r="G181" i="46" s="1"/>
  <c r="AA118" i="14"/>
  <c r="BA118" i="14"/>
  <c r="G180" i="46" s="1"/>
  <c r="AA117" i="14"/>
  <c r="BA117" i="14"/>
  <c r="G179" i="46" s="1"/>
  <c r="A112" i="14"/>
  <c r="AA109" i="14"/>
  <c r="BA109" i="14" s="1"/>
  <c r="G162" i="46" s="1"/>
  <c r="AA108" i="14"/>
  <c r="BA108" i="14" s="1"/>
  <c r="AA107" i="14"/>
  <c r="BA107" i="14" s="1"/>
  <c r="G160" i="46" s="1"/>
  <c r="AA106" i="14"/>
  <c r="BA106" i="14" s="1"/>
  <c r="G159" i="46" s="1"/>
  <c r="K811" i="13" s="1"/>
  <c r="AA105" i="14"/>
  <c r="BA105" i="14" s="1"/>
  <c r="AA104" i="14"/>
  <c r="BA104" i="14" s="1"/>
  <c r="G157" i="46" s="1"/>
  <c r="AA103" i="14"/>
  <c r="BA103" i="14" s="1"/>
  <c r="G156" i="46" s="1"/>
  <c r="A98" i="14"/>
  <c r="AA95" i="14"/>
  <c r="BA95" i="14" s="1"/>
  <c r="AA94" i="14"/>
  <c r="BA94" i="14" s="1"/>
  <c r="G139" i="46" s="1"/>
  <c r="AA93" i="14"/>
  <c r="BA93" i="14" s="1"/>
  <c r="G138" i="46" s="1"/>
  <c r="AA92" i="14"/>
  <c r="BA92" i="14" s="1"/>
  <c r="AA91" i="14"/>
  <c r="BA91" i="14" s="1"/>
  <c r="G136" i="46" s="1"/>
  <c r="AA90" i="14"/>
  <c r="BA90" i="14" s="1"/>
  <c r="G135" i="46" s="1"/>
  <c r="AA89" i="14"/>
  <c r="BA89" i="14" s="1"/>
  <c r="AA88" i="14"/>
  <c r="BA88" i="14" s="1"/>
  <c r="G133" i="46" s="1"/>
  <c r="K679" i="13" s="1"/>
  <c r="AA87" i="14"/>
  <c r="BA87" i="14" s="1"/>
  <c r="AA86" i="14"/>
  <c r="BA86" i="14" s="1"/>
  <c r="AA85" i="14"/>
  <c r="BA85" i="14" s="1"/>
  <c r="G130" i="46" s="1"/>
  <c r="AA84" i="14"/>
  <c r="BA84" i="14" s="1"/>
  <c r="G129" i="46" s="1"/>
  <c r="A79" i="14"/>
  <c r="AA76" i="14"/>
  <c r="BA76" i="14" s="1"/>
  <c r="G113" i="46" s="1"/>
  <c r="H113" i="46" s="1"/>
  <c r="AA75" i="14"/>
  <c r="BA75" i="14" s="1"/>
  <c r="AA74" i="14"/>
  <c r="BA74" i="14" s="1"/>
  <c r="AA73" i="14"/>
  <c r="BA73" i="14" s="1"/>
  <c r="G110" i="46" s="1"/>
  <c r="AA72" i="14"/>
  <c r="BA72" i="14" s="1"/>
  <c r="G109" i="46" s="1"/>
  <c r="AA71" i="14"/>
  <c r="BA71" i="14" s="1"/>
  <c r="G108" i="46" s="1"/>
  <c r="AA70" i="14"/>
  <c r="BA70" i="14" s="1"/>
  <c r="G107" i="46" s="1"/>
  <c r="H107" i="46" s="1"/>
  <c r="A65" i="14"/>
  <c r="AA62" i="14"/>
  <c r="BA62" i="14"/>
  <c r="G93" i="46" s="1"/>
  <c r="AA61" i="14"/>
  <c r="BA61" i="14"/>
  <c r="G92" i="46" s="1"/>
  <c r="AA60" i="14"/>
  <c r="BA60" i="14"/>
  <c r="G91" i="46" s="1"/>
  <c r="AA59" i="14"/>
  <c r="BA59" i="14"/>
  <c r="G90" i="46" s="1"/>
  <c r="A54" i="14"/>
  <c r="AA51" i="14"/>
  <c r="BA51" i="14" s="1"/>
  <c r="G71" i="46" s="1"/>
  <c r="AA50" i="14"/>
  <c r="BA50" i="14" s="1"/>
  <c r="G70" i="46" s="1"/>
  <c r="AA49" i="14"/>
  <c r="BA49" i="14" s="1"/>
  <c r="G69" i="46" s="1"/>
  <c r="AA48" i="14"/>
  <c r="BA48" i="14" s="1"/>
  <c r="G68" i="46" s="1"/>
  <c r="K365" i="13" s="1"/>
  <c r="AA47" i="14"/>
  <c r="BA47" i="14" s="1"/>
  <c r="G67" i="46" s="1"/>
  <c r="AA46" i="14"/>
  <c r="BA46" i="14" s="1"/>
  <c r="G66" i="46" s="1"/>
  <c r="H66" i="46" s="1"/>
  <c r="AA45" i="14"/>
  <c r="BA45" i="14" s="1"/>
  <c r="G65" i="46" s="1"/>
  <c r="AA44" i="14"/>
  <c r="BA44" i="14" s="1"/>
  <c r="G64" i="46" s="1"/>
  <c r="AA43" i="14"/>
  <c r="BA43" i="14" s="1"/>
  <c r="G63" i="46" s="1"/>
  <c r="AA42" i="14"/>
  <c r="BA42" i="14" s="1"/>
  <c r="G62" i="46" s="1"/>
  <c r="H62" i="46" s="1"/>
  <c r="O62" i="46" s="1"/>
  <c r="AA41" i="14"/>
  <c r="BA41" i="14" s="1"/>
  <c r="G61" i="46" s="1"/>
  <c r="K329" i="13" s="1"/>
  <c r="M329" i="13" s="1"/>
  <c r="AA40" i="14"/>
  <c r="BA40" i="14" s="1"/>
  <c r="G60" i="46" s="1"/>
  <c r="H60" i="46" s="1"/>
  <c r="AA39" i="14"/>
  <c r="BA39" i="14" s="1"/>
  <c r="G59" i="46" s="1"/>
  <c r="A34" i="14"/>
  <c r="AA31" i="14"/>
  <c r="BA31" i="14" s="1"/>
  <c r="G39" i="46" s="1"/>
  <c r="AA30" i="14"/>
  <c r="BA30" i="14" s="1"/>
  <c r="G38" i="46" s="1"/>
  <c r="AA29" i="14"/>
  <c r="BA29" i="14" s="1"/>
  <c r="G37" i="46" s="1"/>
  <c r="AA28" i="14"/>
  <c r="BA28" i="14" s="1"/>
  <c r="AA27" i="14"/>
  <c r="BA27" i="14" s="1"/>
  <c r="AA26" i="14"/>
  <c r="BA26" i="14" s="1"/>
  <c r="G34" i="46" s="1"/>
  <c r="AA25" i="14"/>
  <c r="BA25" i="14"/>
  <c r="G33" i="46" s="1"/>
  <c r="AA24" i="14"/>
  <c r="BA24" i="14" s="1"/>
  <c r="AA23" i="14"/>
  <c r="BA23" i="14" s="1"/>
  <c r="AA22" i="14"/>
  <c r="BA22" i="14" s="1"/>
  <c r="AA21" i="14"/>
  <c r="BA21" i="14"/>
  <c r="AA20" i="14"/>
  <c r="BA20" i="14" s="1"/>
  <c r="AA19" i="14"/>
  <c r="BA19" i="14" s="1"/>
  <c r="AA18" i="14"/>
  <c r="BA18" i="14" s="1"/>
  <c r="G26" i="46" s="1"/>
  <c r="AA17" i="14"/>
  <c r="BA17" i="14" s="1"/>
  <c r="G25" i="46" s="1"/>
  <c r="AA16" i="14"/>
  <c r="BA16" i="14" s="1"/>
  <c r="G24" i="46" s="1"/>
  <c r="A11" i="14"/>
  <c r="AA8" i="14"/>
  <c r="BA8" i="14" s="1"/>
  <c r="M365" i="13"/>
  <c r="M244" i="13"/>
  <c r="I1104" i="13"/>
  <c r="N1109" i="13" s="1"/>
  <c r="H1104" i="13"/>
  <c r="G1104" i="13"/>
  <c r="B1104" i="13"/>
  <c r="O329" i="10"/>
  <c r="I1087" i="13"/>
  <c r="N1092" i="13" s="1"/>
  <c r="H1087" i="13"/>
  <c r="G1087" i="13"/>
  <c r="B1087" i="13"/>
  <c r="Q328" i="10"/>
  <c r="O328" i="10"/>
  <c r="I1070" i="13"/>
  <c r="N1075" i="13" s="1"/>
  <c r="H1070" i="13"/>
  <c r="G1070" i="13"/>
  <c r="B1070" i="13"/>
  <c r="Q327" i="10"/>
  <c r="O327" i="10"/>
  <c r="I1053" i="13"/>
  <c r="N1058" i="13" s="1"/>
  <c r="H1053" i="13"/>
  <c r="G1053" i="13"/>
  <c r="B1053" i="13"/>
  <c r="Q326" i="10"/>
  <c r="O326" i="10"/>
  <c r="I1036" i="13"/>
  <c r="N1041" i="13" s="1"/>
  <c r="H1036" i="13"/>
  <c r="G1036" i="13"/>
  <c r="B1036" i="13"/>
  <c r="Q325" i="10"/>
  <c r="O325" i="10"/>
  <c r="I1019" i="13"/>
  <c r="N1024" i="13" s="1"/>
  <c r="H1019" i="13"/>
  <c r="G1019" i="13"/>
  <c r="B1019" i="13"/>
  <c r="Q324" i="10"/>
  <c r="O324" i="10"/>
  <c r="I1002" i="13"/>
  <c r="N1007" i="13" s="1"/>
  <c r="H1002" i="13"/>
  <c r="G1002" i="13"/>
  <c r="B1002" i="13"/>
  <c r="Q323" i="10"/>
  <c r="O323" i="10"/>
  <c r="I985" i="13"/>
  <c r="N990" i="13" s="1"/>
  <c r="H985" i="13"/>
  <c r="G985" i="13"/>
  <c r="B985" i="13"/>
  <c r="Q322" i="10"/>
  <c r="O322" i="10"/>
  <c r="I968" i="13"/>
  <c r="N973" i="13" s="1"/>
  <c r="H968" i="13"/>
  <c r="G968" i="13"/>
  <c r="B968" i="13"/>
  <c r="Q321" i="10"/>
  <c r="O321" i="10"/>
  <c r="I951" i="13"/>
  <c r="N956" i="13" s="1"/>
  <c r="H951" i="13"/>
  <c r="G951" i="13"/>
  <c r="B951" i="13"/>
  <c r="Q320" i="10"/>
  <c r="O320" i="10"/>
  <c r="I933" i="13"/>
  <c r="N936" i="13" s="1"/>
  <c r="H933" i="13"/>
  <c r="G933" i="13"/>
  <c r="B933" i="13"/>
  <c r="Q319" i="10"/>
  <c r="O319" i="10"/>
  <c r="I916" i="13"/>
  <c r="N921" i="13" s="1"/>
  <c r="H916" i="13"/>
  <c r="G916" i="13"/>
  <c r="B916" i="13"/>
  <c r="Q318" i="10"/>
  <c r="O318" i="10"/>
  <c r="I898" i="13"/>
  <c r="N903" i="13" s="1"/>
  <c r="H898" i="13"/>
  <c r="G898" i="13"/>
  <c r="B898" i="13"/>
  <c r="Q316" i="10"/>
  <c r="O316" i="10"/>
  <c r="I881" i="13"/>
  <c r="N886" i="13" s="1"/>
  <c r="H881" i="13"/>
  <c r="G881" i="13"/>
  <c r="B881" i="13"/>
  <c r="Q315" i="10"/>
  <c r="O315" i="10"/>
  <c r="I864" i="13"/>
  <c r="N869" i="13" s="1"/>
  <c r="H864" i="13"/>
  <c r="G864" i="13"/>
  <c r="B864" i="13"/>
  <c r="Q314" i="10"/>
  <c r="O314" i="10"/>
  <c r="I847" i="13"/>
  <c r="N852" i="13" s="1"/>
  <c r="H847" i="13"/>
  <c r="G847" i="13"/>
  <c r="B847" i="13"/>
  <c r="Q313" i="10"/>
  <c r="O313" i="10"/>
  <c r="I828" i="13"/>
  <c r="N830" i="13" s="1"/>
  <c r="H828" i="13"/>
  <c r="G828" i="13"/>
  <c r="B828" i="13"/>
  <c r="O312" i="10"/>
  <c r="J811" i="13"/>
  <c r="J810" i="13"/>
  <c r="J809" i="13"/>
  <c r="H807" i="13"/>
  <c r="G807" i="13"/>
  <c r="B807" i="13"/>
  <c r="H783" i="13"/>
  <c r="G783" i="13"/>
  <c r="B783" i="13"/>
  <c r="J779" i="13"/>
  <c r="H768" i="13"/>
  <c r="G768" i="13"/>
  <c r="D768" i="13"/>
  <c r="B768" i="13"/>
  <c r="H753" i="13"/>
  <c r="G753" i="13"/>
  <c r="D753" i="13"/>
  <c r="B753" i="13"/>
  <c r="H738" i="13"/>
  <c r="G738" i="13"/>
  <c r="D738" i="13"/>
  <c r="B738" i="13"/>
  <c r="H723" i="13"/>
  <c r="G723" i="13"/>
  <c r="D723" i="13"/>
  <c r="B723" i="13"/>
  <c r="J718" i="13"/>
  <c r="J703" i="13"/>
  <c r="J702" i="13"/>
  <c r="J701" i="13"/>
  <c r="H699" i="13"/>
  <c r="G699" i="13"/>
  <c r="B699" i="13"/>
  <c r="J695" i="13"/>
  <c r="J679" i="13"/>
  <c r="J678" i="13"/>
  <c r="J677" i="13"/>
  <c r="H675" i="13"/>
  <c r="G675" i="13"/>
  <c r="B675" i="13"/>
  <c r="J671" i="13"/>
  <c r="H657" i="13"/>
  <c r="G657" i="13"/>
  <c r="B657" i="13"/>
  <c r="H639" i="13"/>
  <c r="G639" i="13"/>
  <c r="B639" i="13"/>
  <c r="H516" i="13"/>
  <c r="G516" i="13"/>
  <c r="B516" i="13"/>
  <c r="H494" i="13"/>
  <c r="G494" i="13"/>
  <c r="B494" i="13"/>
  <c r="H475" i="13"/>
  <c r="G475" i="13"/>
  <c r="B475" i="13"/>
  <c r="H363" i="13"/>
  <c r="G363" i="13"/>
  <c r="B363" i="13"/>
  <c r="J359" i="13"/>
  <c r="H344" i="13"/>
  <c r="G344" i="13"/>
  <c r="B344" i="13"/>
  <c r="H324" i="13"/>
  <c r="G324" i="13"/>
  <c r="B324" i="13"/>
  <c r="H280" i="13"/>
  <c r="G280" i="13"/>
  <c r="B280" i="13"/>
  <c r="J276" i="13"/>
  <c r="H261" i="13"/>
  <c r="G261" i="13"/>
  <c r="B261" i="13"/>
  <c r="H241" i="13"/>
  <c r="G241" i="13"/>
  <c r="B241" i="13"/>
  <c r="H173" i="13"/>
  <c r="G173" i="13"/>
  <c r="B173" i="13"/>
  <c r="J169" i="13"/>
  <c r="H154" i="13"/>
  <c r="G154" i="13"/>
  <c r="B154" i="13"/>
  <c r="H134" i="13"/>
  <c r="G134" i="13"/>
  <c r="B134" i="13"/>
  <c r="J116" i="13"/>
  <c r="J115" i="13"/>
  <c r="J114" i="13"/>
  <c r="H112" i="13"/>
  <c r="G112" i="13"/>
  <c r="B112" i="13"/>
  <c r="J94" i="13"/>
  <c r="J93" i="13"/>
  <c r="J92" i="13"/>
  <c r="H90" i="13"/>
  <c r="G90" i="13"/>
  <c r="B90" i="13"/>
  <c r="H70" i="13"/>
  <c r="G70" i="13"/>
  <c r="B70" i="13"/>
  <c r="H56" i="13"/>
  <c r="G56" i="13"/>
  <c r="B56" i="13"/>
  <c r="H40" i="13"/>
  <c r="G40" i="13"/>
  <c r="B40" i="13"/>
  <c r="H24" i="13"/>
  <c r="G24" i="13"/>
  <c r="B24" i="13"/>
  <c r="H8" i="13"/>
  <c r="G8" i="13"/>
  <c r="B8" i="13"/>
  <c r="K9" i="67"/>
  <c r="B16" i="6"/>
  <c r="B15" i="6"/>
  <c r="B14" i="6"/>
  <c r="B13" i="6"/>
  <c r="B12" i="6"/>
  <c r="B11" i="6"/>
  <c r="B10" i="6"/>
  <c r="B9" i="6"/>
  <c r="G827" i="13"/>
  <c r="A175" i="46" s="1"/>
  <c r="B827" i="13"/>
  <c r="A827" i="13"/>
  <c r="K8" i="67"/>
  <c r="G722" i="13"/>
  <c r="A152" i="46" s="1"/>
  <c r="B722" i="13"/>
  <c r="A722" i="13"/>
  <c r="K7" i="67"/>
  <c r="G533" i="13"/>
  <c r="A125" i="46" s="1"/>
  <c r="B533" i="13"/>
  <c r="A533" i="13"/>
  <c r="K6" i="67"/>
  <c r="G474" i="13"/>
  <c r="A103" i="46" s="1"/>
  <c r="B474" i="13"/>
  <c r="A474" i="13"/>
  <c r="K5" i="67"/>
  <c r="G408" i="13"/>
  <c r="A86" i="46" s="1"/>
  <c r="B408" i="13"/>
  <c r="A408" i="13"/>
  <c r="K4" i="67"/>
  <c r="G240" i="13"/>
  <c r="A55" i="46" s="1"/>
  <c r="B240" i="13"/>
  <c r="A240" i="13"/>
  <c r="K3" i="67"/>
  <c r="G89" i="13"/>
  <c r="A20" i="46" s="1"/>
  <c r="B89" i="13"/>
  <c r="A89" i="13"/>
  <c r="K2" i="67"/>
  <c r="G7" i="13"/>
  <c r="B7" i="13"/>
  <c r="A7" i="13"/>
  <c r="H274" i="10"/>
  <c r="H273" i="10"/>
  <c r="H272" i="10"/>
  <c r="H270" i="10"/>
  <c r="H252" i="10"/>
  <c r="H225" i="10"/>
  <c r="H39" i="10"/>
  <c r="A90" i="9"/>
  <c r="A89" i="9"/>
  <c r="F112" i="9"/>
  <c r="F103" i="9"/>
  <c r="C103" i="9" s="1"/>
  <c r="F102" i="9"/>
  <c r="C102" i="9"/>
  <c r="F101" i="9"/>
  <c r="C101" i="9"/>
  <c r="A61" i="9"/>
  <c r="F206" i="10"/>
  <c r="F171" i="10"/>
  <c r="A206" i="9"/>
  <c r="A205" i="9"/>
  <c r="F228" i="9"/>
  <c r="J1100" i="13" s="1"/>
  <c r="F219" i="9"/>
  <c r="C219" i="9" s="1"/>
  <c r="F218" i="9"/>
  <c r="C218" i="9" s="1"/>
  <c r="F217" i="9"/>
  <c r="C217" i="9" s="1"/>
  <c r="A177" i="9"/>
  <c r="F331" i="10"/>
  <c r="F310" i="10"/>
  <c r="A176" i="9"/>
  <c r="F199" i="9"/>
  <c r="C199" i="9" s="1"/>
  <c r="F190" i="9"/>
  <c r="C190" i="9" s="1"/>
  <c r="F189" i="9"/>
  <c r="C189" i="9" s="1"/>
  <c r="F188" i="9"/>
  <c r="C188" i="9" s="1"/>
  <c r="A148" i="9"/>
  <c r="F289" i="10"/>
  <c r="A147" i="9"/>
  <c r="F170" i="9"/>
  <c r="F161" i="9"/>
  <c r="C161" i="9" s="1"/>
  <c r="F160" i="9"/>
  <c r="C160" i="9" s="1"/>
  <c r="F159" i="9"/>
  <c r="C159" i="9" s="1"/>
  <c r="A119" i="9"/>
  <c r="F214" i="10"/>
  <c r="A118" i="9"/>
  <c r="F141" i="9"/>
  <c r="C141" i="9" s="1"/>
  <c r="F132" i="9"/>
  <c r="C132" i="9" s="1"/>
  <c r="F131" i="9"/>
  <c r="C131" i="9" s="1"/>
  <c r="F130" i="9"/>
  <c r="C130" i="9" s="1"/>
  <c r="A60" i="9"/>
  <c r="F83" i="9"/>
  <c r="J297" i="13" s="1"/>
  <c r="F74" i="9"/>
  <c r="C74" i="9" s="1"/>
  <c r="F73" i="9"/>
  <c r="C73" i="9" s="1"/>
  <c r="F72" i="9"/>
  <c r="C72" i="9" s="1"/>
  <c r="A32" i="9"/>
  <c r="F103" i="10"/>
  <c r="A31" i="9"/>
  <c r="F54" i="9"/>
  <c r="J190" i="13" s="1"/>
  <c r="F45" i="9"/>
  <c r="C45" i="9" s="1"/>
  <c r="F44" i="9"/>
  <c r="C44" i="9" s="1"/>
  <c r="F43" i="9"/>
  <c r="C43" i="9" s="1"/>
  <c r="A3" i="9"/>
  <c r="F64" i="10"/>
  <c r="E132" i="84"/>
  <c r="E128" i="84"/>
  <c r="J14" i="8"/>
  <c r="H75" i="10"/>
  <c r="H136" i="10"/>
  <c r="H212" i="10"/>
  <c r="H303" i="10"/>
  <c r="H238" i="10"/>
  <c r="H251" i="10"/>
  <c r="H222" i="10"/>
  <c r="H248" i="10"/>
  <c r="H220" i="10"/>
  <c r="H140" i="10"/>
  <c r="H111" i="10"/>
  <c r="H124" i="10"/>
  <c r="H181" i="10"/>
  <c r="H257" i="10"/>
  <c r="H133" i="10"/>
  <c r="H286" i="10"/>
  <c r="H43" i="10"/>
  <c r="H268" i="10"/>
  <c r="H30" i="10"/>
  <c r="H266" i="10"/>
  <c r="H200" i="10"/>
  <c r="H155" i="10"/>
  <c r="H109" i="10"/>
  <c r="H38" i="10"/>
  <c r="H254" i="10"/>
  <c r="H204" i="10"/>
  <c r="H93" i="10"/>
  <c r="H246" i="10"/>
  <c r="H230" i="10"/>
  <c r="H180" i="10"/>
  <c r="H118" i="10"/>
  <c r="H46" i="10"/>
  <c r="H184" i="10"/>
  <c r="H306" i="10"/>
  <c r="H69" i="10"/>
  <c r="H29" i="10"/>
  <c r="H253" i="10"/>
  <c r="H307" i="10"/>
  <c r="H189" i="10"/>
  <c r="H229" i="10"/>
  <c r="H13" i="10"/>
  <c r="H232" i="10"/>
  <c r="H269" i="10"/>
  <c r="H161" i="10"/>
  <c r="H187" i="10"/>
  <c r="H174" i="10"/>
  <c r="H137" i="10"/>
  <c r="H163" i="10"/>
  <c r="H113" i="10"/>
  <c r="H12" i="10"/>
  <c r="H182" i="10"/>
  <c r="H304" i="10"/>
  <c r="H34" i="10"/>
  <c r="H62" i="10"/>
  <c r="H166" i="10"/>
  <c r="H240" i="10"/>
  <c r="H79" i="10"/>
  <c r="H271" i="10"/>
  <c r="H185" i="10"/>
  <c r="H114" i="10"/>
  <c r="H226" i="10"/>
  <c r="H297" i="10"/>
  <c r="H28" i="10"/>
  <c r="H279" i="10"/>
  <c r="H121" i="10"/>
  <c r="H74" i="10"/>
  <c r="H134" i="10"/>
  <c r="H209" i="10"/>
  <c r="H148" i="10"/>
  <c r="H147" i="10"/>
  <c r="H159" i="10"/>
  <c r="H186" i="10"/>
  <c r="H157" i="10"/>
  <c r="H308" i="10"/>
  <c r="H25" i="10"/>
  <c r="H56" i="10"/>
  <c r="H123" i="10"/>
  <c r="H194" i="10"/>
  <c r="H287" i="10"/>
  <c r="H224" i="10"/>
  <c r="H223" i="10"/>
  <c r="H203" i="10"/>
  <c r="H234" i="10"/>
  <c r="H201" i="10"/>
  <c r="H126" i="10"/>
  <c r="H76" i="10"/>
  <c r="H23" i="10"/>
  <c r="H241" i="10"/>
  <c r="H85" i="10"/>
  <c r="H92" i="10"/>
  <c r="H128" i="10"/>
  <c r="H59" i="10"/>
  <c r="H51" i="10"/>
  <c r="H101" i="10"/>
  <c r="H285" i="10"/>
  <c r="H221" i="10"/>
  <c r="H280" i="10"/>
  <c r="H150" i="10"/>
  <c r="H98" i="10"/>
  <c r="H262" i="10"/>
  <c r="H236" i="10"/>
  <c r="H179" i="10"/>
  <c r="H169" i="10"/>
  <c r="H292" i="10"/>
  <c r="H299" i="10"/>
  <c r="H183" i="10"/>
  <c r="H61" i="10"/>
  <c r="H277" i="10"/>
  <c r="H219" i="10"/>
  <c r="H278" i="10"/>
  <c r="H33" i="10"/>
  <c r="H231" i="10"/>
  <c r="H15" i="10"/>
  <c r="H70" i="10"/>
  <c r="H217" i="10"/>
  <c r="H228" i="10"/>
  <c r="H154" i="10"/>
  <c r="H71" i="10"/>
  <c r="H197" i="10"/>
  <c r="H293" i="10"/>
  <c r="H87" i="10"/>
  <c r="H35" i="10"/>
  <c r="H149" i="10"/>
  <c r="H49" i="10"/>
  <c r="H68" i="10"/>
  <c r="H96" i="10"/>
  <c r="H80" i="10"/>
  <c r="H281" i="10"/>
  <c r="H244" i="10"/>
  <c r="H243" i="10"/>
  <c r="H52" i="10"/>
  <c r="H55" i="10"/>
  <c r="H73" i="10"/>
  <c r="H191" i="10"/>
  <c r="H131" i="10"/>
  <c r="H130" i="10"/>
  <c r="H146" i="10"/>
  <c r="H158" i="10"/>
  <c r="H142" i="10"/>
  <c r="H295" i="10"/>
  <c r="H100" i="10"/>
  <c r="H259" i="10"/>
  <c r="H19" i="10"/>
  <c r="H190" i="10"/>
  <c r="H188" i="10"/>
  <c r="H247" i="10"/>
  <c r="H218" i="10"/>
  <c r="H108" i="10"/>
  <c r="H178" i="10"/>
  <c r="H117" i="10"/>
  <c r="H45" i="10"/>
  <c r="H139" i="10"/>
  <c r="H36" i="10"/>
  <c r="H115" i="10"/>
  <c r="H153" i="10"/>
  <c r="H233" i="10"/>
  <c r="H152" i="10"/>
  <c r="H42" i="10"/>
  <c r="H193" i="10"/>
  <c r="H31" i="10"/>
  <c r="H90" i="10"/>
  <c r="H168" i="10"/>
  <c r="H202" i="10"/>
  <c r="H195" i="10"/>
  <c r="H302" i="10"/>
  <c r="H284" i="10"/>
  <c r="H282" i="10"/>
  <c r="H167" i="10"/>
  <c r="H18" i="10"/>
  <c r="H119" i="10"/>
  <c r="H81" i="10"/>
  <c r="H264" i="10"/>
  <c r="H165" i="10"/>
  <c r="H129" i="10"/>
  <c r="H58" i="10"/>
  <c r="H249" i="10"/>
  <c r="H162" i="10"/>
  <c r="H125" i="10"/>
  <c r="H16" i="10"/>
  <c r="H89" i="10"/>
  <c r="H24" i="46" l="1"/>
  <c r="O24" i="46" s="1"/>
  <c r="K93" i="13"/>
  <c r="P24" i="46"/>
  <c r="K115" i="13"/>
  <c r="K220" i="13"/>
  <c r="K197" i="13"/>
  <c r="H25" i="46"/>
  <c r="G35" i="46"/>
  <c r="H26" i="46"/>
  <c r="K198" i="13"/>
  <c r="K221" i="13"/>
  <c r="G27" i="46"/>
  <c r="G31" i="46"/>
  <c r="A12" i="16"/>
  <c r="A15" i="17"/>
  <c r="A42" i="17"/>
  <c r="A30" i="16"/>
  <c r="A61" i="17"/>
  <c r="A47" i="16"/>
  <c r="G29" i="46"/>
  <c r="H34" i="46"/>
  <c r="K199" i="13"/>
  <c r="K222" i="13"/>
  <c r="K94" i="13"/>
  <c r="M94" i="13" s="1"/>
  <c r="H67" i="46"/>
  <c r="O67" i="46" s="1"/>
  <c r="K367" i="13"/>
  <c r="M367" i="13" s="1"/>
  <c r="P67" i="46"/>
  <c r="K284" i="13"/>
  <c r="M284" i="13" s="1"/>
  <c r="H91" i="46"/>
  <c r="K414" i="13"/>
  <c r="M414" i="13" s="1"/>
  <c r="K436" i="13"/>
  <c r="M436" i="13" s="1"/>
  <c r="K702" i="13"/>
  <c r="K678" i="13"/>
  <c r="K681" i="13"/>
  <c r="M681" i="13" s="1"/>
  <c r="K677" i="13"/>
  <c r="K900" i="13"/>
  <c r="M900" i="13" s="1"/>
  <c r="H179" i="46"/>
  <c r="K987" i="13"/>
  <c r="H185" i="46"/>
  <c r="M221" i="13"/>
  <c r="K701" i="13"/>
  <c r="K458" i="13"/>
  <c r="M458" i="13" s="1"/>
  <c r="J380" i="13"/>
  <c r="J734" i="13"/>
  <c r="G8" i="46"/>
  <c r="G32" i="46"/>
  <c r="P38" i="46"/>
  <c r="H38" i="46"/>
  <c r="K114" i="13"/>
  <c r="G131" i="46"/>
  <c r="K641" i="13"/>
  <c r="M641" i="13" s="1"/>
  <c r="H135" i="46"/>
  <c r="H139" i="46"/>
  <c r="K557" i="13"/>
  <c r="K620" i="13"/>
  <c r="K536" i="13"/>
  <c r="A21" i="16"/>
  <c r="A29" i="17"/>
  <c r="A82" i="17"/>
  <c r="A64" i="16"/>
  <c r="O830" i="13"/>
  <c r="N190" i="46" s="1"/>
  <c r="E190" i="46"/>
  <c r="O936" i="13"/>
  <c r="N182" i="46" s="1"/>
  <c r="E182" i="46"/>
  <c r="J182" i="46" s="1"/>
  <c r="H59" i="46"/>
  <c r="K387" i="13"/>
  <c r="K304" i="13"/>
  <c r="H71" i="46"/>
  <c r="K386" i="13"/>
  <c r="M386" i="13" s="1"/>
  <c r="K303" i="13"/>
  <c r="K518" i="13"/>
  <c r="M518" i="13" s="1"/>
  <c r="H108" i="46"/>
  <c r="O108" i="46" s="1"/>
  <c r="P108" i="46"/>
  <c r="G134" i="46"/>
  <c r="K786" i="13"/>
  <c r="M786" i="13" s="1"/>
  <c r="H160" i="46"/>
  <c r="K953" i="13"/>
  <c r="H183" i="46"/>
  <c r="C170" i="9"/>
  <c r="J593" i="13"/>
  <c r="J572" i="13"/>
  <c r="J551" i="13"/>
  <c r="J614" i="13"/>
  <c r="J449" i="13"/>
  <c r="J427" i="13"/>
  <c r="J470" i="13"/>
  <c r="C112" i="9"/>
  <c r="J108" i="13"/>
  <c r="J130" i="13"/>
  <c r="J490" i="13"/>
  <c r="J529" i="13"/>
  <c r="J749" i="13"/>
  <c r="J803" i="13"/>
  <c r="J843" i="13"/>
  <c r="J860" i="13"/>
  <c r="J877" i="13"/>
  <c r="J894" i="13"/>
  <c r="J911" i="13"/>
  <c r="J929" i="13"/>
  <c r="J947" i="13"/>
  <c r="J964" i="13"/>
  <c r="J1119" i="13"/>
  <c r="G30" i="46"/>
  <c r="K136" i="13"/>
  <c r="M136" i="13" s="1"/>
  <c r="H33" i="46"/>
  <c r="H39" i="46"/>
  <c r="K219" i="13"/>
  <c r="K246" i="13"/>
  <c r="M246" i="13" s="1"/>
  <c r="H61" i="46"/>
  <c r="H65" i="46"/>
  <c r="K326" i="13"/>
  <c r="M326" i="13" s="1"/>
  <c r="P69" i="46"/>
  <c r="K263" i="13"/>
  <c r="M263" i="13" s="1"/>
  <c r="K346" i="13"/>
  <c r="M346" i="13" s="1"/>
  <c r="K456" i="13"/>
  <c r="M456" i="13" s="1"/>
  <c r="K412" i="13"/>
  <c r="H92" i="46"/>
  <c r="K435" i="13"/>
  <c r="M435" i="13" s="1"/>
  <c r="K457" i="13"/>
  <c r="K519" i="13"/>
  <c r="M519" i="13" s="1"/>
  <c r="H110" i="46"/>
  <c r="O110" i="46" s="1"/>
  <c r="P110" i="46"/>
  <c r="G132" i="46"/>
  <c r="K660" i="13"/>
  <c r="M660" i="13" s="1"/>
  <c r="H136" i="46"/>
  <c r="G140" i="46"/>
  <c r="G158" i="46"/>
  <c r="K809" i="13"/>
  <c r="H162" i="46"/>
  <c r="K883" i="13"/>
  <c r="M883" i="13" s="1"/>
  <c r="M884" i="13" s="1"/>
  <c r="H180" i="46"/>
  <c r="K866" i="13"/>
  <c r="M866" i="13" s="1"/>
  <c r="M867" i="13" s="1"/>
  <c r="M865" i="13" s="1"/>
  <c r="K936" i="13"/>
  <c r="M936" i="13" s="1"/>
  <c r="M937" i="13" s="1"/>
  <c r="M934" i="13" s="1"/>
  <c r="H182" i="46"/>
  <c r="K970" i="13"/>
  <c r="M970" i="13" s="1"/>
  <c r="M971" i="13" s="1"/>
  <c r="H184" i="46"/>
  <c r="K935" i="13"/>
  <c r="M935" i="13" s="1"/>
  <c r="H186" i="46"/>
  <c r="K1089" i="13"/>
  <c r="H188" i="46"/>
  <c r="K1055" i="13"/>
  <c r="M1055" i="13" s="1"/>
  <c r="M1056" i="13" s="1"/>
  <c r="M1054" i="13" s="1"/>
  <c r="K1072" i="13"/>
  <c r="G190" i="46"/>
  <c r="G192" i="46"/>
  <c r="J635" i="13"/>
  <c r="P182" i="46"/>
  <c r="H130" i="46"/>
  <c r="H69" i="46"/>
  <c r="K413" i="13"/>
  <c r="M413" i="13" s="1"/>
  <c r="M415" i="13" s="1"/>
  <c r="M410" i="13" s="1"/>
  <c r="K92" i="13"/>
  <c r="K116" i="13"/>
  <c r="C228" i="9"/>
  <c r="A3" i="14"/>
  <c r="A3" i="46"/>
  <c r="A38" i="16"/>
  <c r="A51" i="17"/>
  <c r="A71" i="17"/>
  <c r="A56" i="16"/>
  <c r="K175" i="13"/>
  <c r="M175" i="13" s="1"/>
  <c r="P37" i="46"/>
  <c r="H37" i="46"/>
  <c r="O37" i="46" s="1"/>
  <c r="H63" i="46"/>
  <c r="K245" i="13"/>
  <c r="K328" i="13"/>
  <c r="K455" i="13"/>
  <c r="H93" i="46"/>
  <c r="K411" i="13"/>
  <c r="K433" i="13"/>
  <c r="G112" i="46"/>
  <c r="K812" i="13"/>
  <c r="M812" i="13" s="1"/>
  <c r="H156" i="46"/>
  <c r="K849" i="13"/>
  <c r="M849" i="13" s="1"/>
  <c r="M850" i="13" s="1"/>
  <c r="M848" i="13" s="1"/>
  <c r="H181" i="46"/>
  <c r="K1021" i="13"/>
  <c r="M1021" i="13" s="1"/>
  <c r="M1022" i="13" s="1"/>
  <c r="H187" i="46"/>
  <c r="C54" i="9"/>
  <c r="J213" i="13"/>
  <c r="C83" i="9"/>
  <c r="J320" i="13"/>
  <c r="J150" i="13"/>
  <c r="J257" i="13"/>
  <c r="J340" i="13"/>
  <c r="J512" i="13"/>
  <c r="J653" i="13"/>
  <c r="J764" i="13"/>
  <c r="J823" i="13"/>
  <c r="J981" i="13"/>
  <c r="J998" i="13"/>
  <c r="J1015" i="13"/>
  <c r="J1032" i="13"/>
  <c r="J1049" i="13"/>
  <c r="J1066" i="13"/>
  <c r="J1083" i="13"/>
  <c r="G28" i="46"/>
  <c r="G36" i="46"/>
  <c r="H129" i="46"/>
  <c r="K600" i="13"/>
  <c r="M600" i="13" s="1"/>
  <c r="K558" i="13"/>
  <c r="K579" i="13"/>
  <c r="K621" i="13"/>
  <c r="M621" i="13" s="1"/>
  <c r="M623" i="13" s="1"/>
  <c r="M619" i="13" s="1"/>
  <c r="H133" i="46"/>
  <c r="K622" i="13"/>
  <c r="K601" i="13"/>
  <c r="K538" i="13"/>
  <c r="K580" i="13"/>
  <c r="M580" i="13" s="1"/>
  <c r="K703" i="13"/>
  <c r="K559" i="13"/>
  <c r="M559" i="13" s="1"/>
  <c r="M560" i="13" s="1"/>
  <c r="M556" i="13" s="1"/>
  <c r="G137" i="46"/>
  <c r="J236" i="13"/>
  <c r="M303" i="13"/>
  <c r="M307" i="13" s="1"/>
  <c r="M302" i="13" s="1"/>
  <c r="J404" i="13"/>
  <c r="M411" i="13"/>
  <c r="K599" i="13"/>
  <c r="M599" i="13" s="1"/>
  <c r="M602" i="13" s="1"/>
  <c r="M598" i="13" s="1"/>
  <c r="H138" i="46"/>
  <c r="K537" i="13"/>
  <c r="K196" i="13"/>
  <c r="M196" i="13" s="1"/>
  <c r="M200" i="13" s="1"/>
  <c r="M195" i="13" s="1"/>
  <c r="K282" i="13"/>
  <c r="M282" i="13" s="1"/>
  <c r="P70" i="46"/>
  <c r="H70" i="46"/>
  <c r="O70" i="46" s="1"/>
  <c r="G111" i="46"/>
  <c r="M197" i="13"/>
  <c r="M222" i="13"/>
  <c r="M304" i="13"/>
  <c r="M412" i="13"/>
  <c r="M457" i="13"/>
  <c r="M536" i="13"/>
  <c r="M622" i="13"/>
  <c r="M578" i="13"/>
  <c r="H159" i="46"/>
  <c r="K498" i="13"/>
  <c r="M498" i="13" s="1"/>
  <c r="K283" i="13"/>
  <c r="K496" i="13"/>
  <c r="M496" i="13" s="1"/>
  <c r="K918" i="13"/>
  <c r="M918" i="13" s="1"/>
  <c r="M919" i="13" s="1"/>
  <c r="M917" i="13" s="1"/>
  <c r="H191" i="46"/>
  <c r="M198" i="13"/>
  <c r="M219" i="13"/>
  <c r="M305" i="13"/>
  <c r="M433" i="13"/>
  <c r="M437" i="13" s="1"/>
  <c r="M432" i="13" s="1"/>
  <c r="M557" i="13"/>
  <c r="M579" i="13"/>
  <c r="H193" i="46"/>
  <c r="O142" i="46"/>
  <c r="K347" i="13"/>
  <c r="K479" i="13"/>
  <c r="M479" i="13" s="1"/>
  <c r="H109" i="46"/>
  <c r="K810" i="13"/>
  <c r="M810" i="13" s="1"/>
  <c r="M813" i="13" s="1"/>
  <c r="M808" i="13" s="1"/>
  <c r="H157" i="46"/>
  <c r="G161" i="46"/>
  <c r="M199" i="13"/>
  <c r="M220" i="13"/>
  <c r="M306" i="13"/>
  <c r="M387" i="13"/>
  <c r="M434" i="13"/>
  <c r="M455" i="13"/>
  <c r="M454" i="13" s="1"/>
  <c r="M538" i="13"/>
  <c r="M558" i="13"/>
  <c r="M620" i="13"/>
  <c r="M601" i="13"/>
  <c r="H189" i="46"/>
  <c r="K1038" i="13"/>
  <c r="K327" i="13"/>
  <c r="M327" i="13" s="1"/>
  <c r="K388" i="13"/>
  <c r="M388" i="13" s="1"/>
  <c r="P68" i="46"/>
  <c r="K389" i="13"/>
  <c r="M389" i="13" s="1"/>
  <c r="K366" i="13"/>
  <c r="O165" i="46"/>
  <c r="O164" i="46" s="1"/>
  <c r="O117" i="46"/>
  <c r="O115" i="46" s="1"/>
  <c r="O69" i="46"/>
  <c r="O96" i="46"/>
  <c r="O95" i="46" s="1"/>
  <c r="O196" i="46"/>
  <c r="O195" i="46" s="1"/>
  <c r="O182" i="46"/>
  <c r="I182" i="46"/>
  <c r="I189" i="46"/>
  <c r="O75" i="46"/>
  <c r="O73" i="46" s="1"/>
  <c r="H160" i="10"/>
  <c r="H88" i="10"/>
  <c r="H227" i="10"/>
  <c r="H260" i="10"/>
  <c r="H175" i="10"/>
  <c r="H127" i="10"/>
  <c r="H91" i="10"/>
  <c r="H82" i="10"/>
  <c r="H239" i="10"/>
  <c r="H164" i="10"/>
  <c r="H99" i="10"/>
  <c r="H144" i="10"/>
  <c r="H267" i="10"/>
  <c r="H122" i="10"/>
  <c r="H156" i="10"/>
  <c r="H94" i="10"/>
  <c r="H237" i="10"/>
  <c r="H275" i="10"/>
  <c r="M581" i="13"/>
  <c r="M577" i="13" s="1"/>
  <c r="R576" i="13"/>
  <c r="K237" i="10"/>
  <c r="P237" i="10" s="1"/>
  <c r="M115" i="13"/>
  <c r="M114" i="13"/>
  <c r="R597" i="13"/>
  <c r="K239" i="10"/>
  <c r="P239" i="10" s="1"/>
  <c r="R618" i="13"/>
  <c r="K242" i="10"/>
  <c r="R555" i="13"/>
  <c r="K227" i="10"/>
  <c r="P227" i="10" s="1"/>
  <c r="R534" i="13"/>
  <c r="K216" i="10"/>
  <c r="M537" i="13"/>
  <c r="K198" i="10"/>
  <c r="M811" i="13"/>
  <c r="R431" i="13"/>
  <c r="K175" i="10"/>
  <c r="M677" i="13"/>
  <c r="M809" i="13"/>
  <c r="R409" i="13"/>
  <c r="K173" i="10"/>
  <c r="R384" i="13"/>
  <c r="K164" i="10"/>
  <c r="K99" i="10"/>
  <c r="P99" i="10" s="1"/>
  <c r="R217" i="13"/>
  <c r="R301" i="13"/>
  <c r="M93" i="13"/>
  <c r="N1055" i="13"/>
  <c r="N1106" i="13"/>
  <c r="N1111" i="13"/>
  <c r="M223" i="13"/>
  <c r="M218" i="13" s="1"/>
  <c r="R194" i="13"/>
  <c r="K94" i="10"/>
  <c r="M332" i="13"/>
  <c r="M331" i="13" s="1"/>
  <c r="R324" i="13" s="1"/>
  <c r="M249" i="13"/>
  <c r="M248" i="13" s="1"/>
  <c r="R241" i="13" s="1"/>
  <c r="M369" i="13"/>
  <c r="M368" i="13" s="1"/>
  <c r="R363" i="13" s="1"/>
  <c r="M349" i="13"/>
  <c r="M348" i="13" s="1"/>
  <c r="R344" i="13" s="1"/>
  <c r="M286" i="13"/>
  <c r="M285" i="13" s="1"/>
  <c r="K127" i="10" s="1"/>
  <c r="P127" i="10" s="1"/>
  <c r="M266" i="13"/>
  <c r="M265" i="13" s="1"/>
  <c r="K122" i="10" s="1"/>
  <c r="M1075" i="13"/>
  <c r="M1074" i="13" s="1"/>
  <c r="R1070" i="13" s="1"/>
  <c r="M1007" i="13"/>
  <c r="M1006" i="13" s="1"/>
  <c r="K323" i="10" s="1"/>
  <c r="P323" i="10" s="1"/>
  <c r="M939" i="13"/>
  <c r="M938" i="13" s="1"/>
  <c r="K319" i="10" s="1"/>
  <c r="P319" i="10" s="1"/>
  <c r="M903" i="13"/>
  <c r="M902" i="13" s="1"/>
  <c r="K316" i="10" s="1"/>
  <c r="P316" i="10" s="1"/>
  <c r="M869" i="13"/>
  <c r="M868" i="13" s="1"/>
  <c r="M870" i="13" s="1"/>
  <c r="M1058" i="13"/>
  <c r="M1057" i="13" s="1"/>
  <c r="K326" i="10" s="1"/>
  <c r="P326" i="10" s="1"/>
  <c r="M990" i="13"/>
  <c r="M989" i="13" s="1"/>
  <c r="R985" i="13" s="1"/>
  <c r="M833" i="13"/>
  <c r="M832" i="13" s="1"/>
  <c r="R828" i="13" s="1"/>
  <c r="M1109" i="13"/>
  <c r="M1108" i="13" s="1"/>
  <c r="K329" i="10" s="1"/>
  <c r="P329" i="10" s="1"/>
  <c r="M1041" i="13"/>
  <c r="M1040" i="13" s="1"/>
  <c r="R1036" i="13" s="1"/>
  <c r="M973" i="13"/>
  <c r="M972" i="13" s="1"/>
  <c r="R968" i="13" s="1"/>
  <c r="M921" i="13"/>
  <c r="M920" i="13" s="1"/>
  <c r="K318" i="10" s="1"/>
  <c r="P318" i="10" s="1"/>
  <c r="M886" i="13"/>
  <c r="M885" i="13" s="1"/>
  <c r="R881" i="13" s="1"/>
  <c r="M852" i="13"/>
  <c r="M851" i="13" s="1"/>
  <c r="M853" i="13" s="1"/>
  <c r="M1092" i="13"/>
  <c r="M1091" i="13" s="1"/>
  <c r="K328" i="10" s="1"/>
  <c r="P328" i="10" s="1"/>
  <c r="M1024" i="13"/>
  <c r="M1023" i="13" s="1"/>
  <c r="K324" i="10" s="1"/>
  <c r="P324" i="10" s="1"/>
  <c r="M956" i="13"/>
  <c r="M955" i="13" s="1"/>
  <c r="R951" i="13" s="1"/>
  <c r="M521" i="13"/>
  <c r="M520" i="13" s="1"/>
  <c r="K211" i="10" s="1"/>
  <c r="M663" i="13"/>
  <c r="M662" i="13" s="1"/>
  <c r="R657" i="13" s="1"/>
  <c r="M645" i="13"/>
  <c r="M644" i="13" s="1"/>
  <c r="K255" i="10" s="1"/>
  <c r="M790" i="13"/>
  <c r="M789" i="13" s="1"/>
  <c r="K300" i="10" s="1"/>
  <c r="M815" i="13"/>
  <c r="M814" i="13" s="1"/>
  <c r="K305" i="10" s="1"/>
  <c r="M685" i="13"/>
  <c r="M684" i="13" s="1"/>
  <c r="K267" i="10" s="1"/>
  <c r="P267" i="10" s="1"/>
  <c r="M708" i="13"/>
  <c r="M707" i="13" s="1"/>
  <c r="K275" i="10" s="1"/>
  <c r="M42" i="13"/>
  <c r="M41" i="13" s="1"/>
  <c r="K40" i="10" s="1"/>
  <c r="M10" i="13"/>
  <c r="M9" i="13" s="1"/>
  <c r="K10" i="10" s="1"/>
  <c r="M74" i="13"/>
  <c r="M73" i="13" s="1"/>
  <c r="R70" i="13" s="1"/>
  <c r="M26" i="13"/>
  <c r="M25" i="13" s="1"/>
  <c r="K20" i="10" s="1"/>
  <c r="M159" i="13"/>
  <c r="M158" i="13" s="1"/>
  <c r="K88" i="10" s="1"/>
  <c r="M120" i="13"/>
  <c r="M119" i="13" s="1"/>
  <c r="K77" i="10" s="1"/>
  <c r="M179" i="13"/>
  <c r="M178" i="13" s="1"/>
  <c r="R173" i="13" s="1"/>
  <c r="M142" i="13"/>
  <c r="M141" i="13" s="1"/>
  <c r="R134" i="13" s="1"/>
  <c r="M98" i="13"/>
  <c r="M97" i="13" s="1"/>
  <c r="R90" i="13" s="1"/>
  <c r="M482" i="13"/>
  <c r="M481" i="13" s="1"/>
  <c r="K208" i="10" s="1"/>
  <c r="M501" i="13"/>
  <c r="M500" i="13" s="1"/>
  <c r="K210" i="10" s="1"/>
  <c r="M703" i="13"/>
  <c r="M477" i="13"/>
  <c r="M243" i="13"/>
  <c r="M1089" i="13"/>
  <c r="M1090" i="13" s="1"/>
  <c r="M1088" i="13" s="1"/>
  <c r="P1087" i="13" s="1"/>
  <c r="M1072" i="13"/>
  <c r="M1073" i="13" s="1"/>
  <c r="M1071" i="13" s="1"/>
  <c r="I327" i="10" s="1"/>
  <c r="N327" i="10" s="1"/>
  <c r="M679" i="13"/>
  <c r="M116" i="13"/>
  <c r="M283" i="13"/>
  <c r="M264" i="13"/>
  <c r="M262" i="13" s="1"/>
  <c r="M366" i="13"/>
  <c r="M364" i="13" s="1"/>
  <c r="P363" i="13" s="1"/>
  <c r="M347" i="13"/>
  <c r="M701" i="13"/>
  <c r="M92" i="13"/>
  <c r="M245" i="13"/>
  <c r="M328" i="13"/>
  <c r="M953" i="13"/>
  <c r="M954" i="13" s="1"/>
  <c r="M987" i="13"/>
  <c r="M988" i="13" s="1"/>
  <c r="M986" i="13" s="1"/>
  <c r="I322" i="10" s="1"/>
  <c r="N322" i="10" s="1"/>
  <c r="M1038" i="13"/>
  <c r="M1039" i="13" s="1"/>
  <c r="M1037" i="13" s="1"/>
  <c r="M1106" i="13"/>
  <c r="M1107" i="13" s="1"/>
  <c r="M1105" i="13" s="1"/>
  <c r="I329" i="10" s="1"/>
  <c r="N329" i="10" s="1"/>
  <c r="M702" i="13"/>
  <c r="M678" i="13"/>
  <c r="N1089" i="13"/>
  <c r="O1089" i="13" s="1"/>
  <c r="N1072" i="13"/>
  <c r="O1072" i="13" s="1"/>
  <c r="N1038" i="13"/>
  <c r="E189" i="46" s="1"/>
  <c r="J189" i="46" s="1"/>
  <c r="N1021" i="13"/>
  <c r="E187" i="46" s="1"/>
  <c r="N1004" i="13"/>
  <c r="E192" i="46" s="1"/>
  <c r="M969" i="13"/>
  <c r="P968" i="13" s="1"/>
  <c r="N987" i="13"/>
  <c r="E185" i="46" s="1"/>
  <c r="N970" i="13"/>
  <c r="E184" i="46" s="1"/>
  <c r="N953" i="13"/>
  <c r="E183" i="46" s="1"/>
  <c r="N939" i="13"/>
  <c r="N935" i="13"/>
  <c r="E186" i="46" s="1"/>
  <c r="J186" i="46" s="1"/>
  <c r="P916" i="13"/>
  <c r="I318" i="10"/>
  <c r="N318" i="10" s="1"/>
  <c r="N918" i="13"/>
  <c r="E191" i="46" s="1"/>
  <c r="M882" i="13"/>
  <c r="N900" i="13"/>
  <c r="E179" i="46" s="1"/>
  <c r="J179" i="46" s="1"/>
  <c r="R898" i="13"/>
  <c r="M901" i="13"/>
  <c r="M899" i="13" s="1"/>
  <c r="N883" i="13"/>
  <c r="O883" i="13" s="1"/>
  <c r="P864" i="13"/>
  <c r="I314" i="10"/>
  <c r="N314" i="10" s="1"/>
  <c r="N849" i="13"/>
  <c r="E181" i="46" s="1"/>
  <c r="N866" i="13"/>
  <c r="E180" i="46" s="1"/>
  <c r="P847" i="13"/>
  <c r="I313" i="10"/>
  <c r="N313" i="10" s="1"/>
  <c r="N835" i="13"/>
  <c r="E198" i="46" s="1"/>
  <c r="N833" i="13"/>
  <c r="E196" i="46" s="1"/>
  <c r="J196" i="46" s="1"/>
  <c r="J195" i="46" s="1"/>
  <c r="R783" i="13"/>
  <c r="I298" i="10"/>
  <c r="I296" i="10"/>
  <c r="I294" i="10"/>
  <c r="I291" i="10"/>
  <c r="R639" i="13"/>
  <c r="M517" i="13"/>
  <c r="P516" i="13" s="1"/>
  <c r="R261" i="13"/>
  <c r="R154" i="13"/>
  <c r="R112" i="13"/>
  <c r="H216" i="10"/>
  <c r="H198" i="10"/>
  <c r="H106" i="10"/>
  <c r="H10" i="10"/>
  <c r="H66" i="10"/>
  <c r="H53" i="10"/>
  <c r="H20" i="10"/>
  <c r="H294" i="10"/>
  <c r="H77" i="10"/>
  <c r="H296" i="10"/>
  <c r="H298" i="10"/>
  <c r="H47" i="10"/>
  <c r="H173" i="10"/>
  <c r="H300" i="10"/>
  <c r="H208" i="10"/>
  <c r="H132" i="10"/>
  <c r="H211" i="10"/>
  <c r="H255" i="10"/>
  <c r="H291" i="10"/>
  <c r="H305" i="10"/>
  <c r="H40" i="10"/>
  <c r="H242" i="10"/>
  <c r="N445" i="8"/>
  <c r="M445" i="8"/>
  <c r="L445" i="8"/>
  <c r="K445" i="8"/>
  <c r="J445" i="8"/>
  <c r="I445" i="8"/>
  <c r="H445" i="8"/>
  <c r="G445" i="8"/>
  <c r="F445" i="8"/>
  <c r="E445" i="8"/>
  <c r="O445" i="8"/>
  <c r="Q445" i="8"/>
  <c r="P445" i="8"/>
  <c r="D445" i="8"/>
  <c r="P364" i="8"/>
  <c r="O364" i="8"/>
  <c r="N364" i="8"/>
  <c r="M364" i="8"/>
  <c r="L364" i="8"/>
  <c r="K364" i="8"/>
  <c r="J364" i="8"/>
  <c r="I364" i="8"/>
  <c r="H364" i="8"/>
  <c r="G364" i="8"/>
  <c r="F364" i="8"/>
  <c r="E364" i="8"/>
  <c r="D364" i="8"/>
  <c r="P363" i="8"/>
  <c r="O363" i="8"/>
  <c r="N363" i="8"/>
  <c r="M363" i="8"/>
  <c r="L363" i="8"/>
  <c r="K363" i="8"/>
  <c r="J363" i="8"/>
  <c r="I363" i="8"/>
  <c r="H363" i="8"/>
  <c r="G363" i="8"/>
  <c r="F363" i="8"/>
  <c r="E363" i="8"/>
  <c r="D363" i="8"/>
  <c r="P362" i="8"/>
  <c r="O362" i="8"/>
  <c r="N362" i="8"/>
  <c r="M362" i="8"/>
  <c r="L362" i="8"/>
  <c r="K362" i="8"/>
  <c r="J362" i="8"/>
  <c r="I362" i="8"/>
  <c r="H362" i="8"/>
  <c r="G362" i="8"/>
  <c r="F362" i="8"/>
  <c r="E362" i="8"/>
  <c r="D362" i="8"/>
  <c r="P361" i="8"/>
  <c r="O361" i="8"/>
  <c r="N361" i="8"/>
  <c r="M361" i="8"/>
  <c r="L361" i="8"/>
  <c r="K361" i="8"/>
  <c r="J361" i="8"/>
  <c r="I361" i="8"/>
  <c r="H361" i="8"/>
  <c r="G361" i="8"/>
  <c r="F361" i="8"/>
  <c r="E361" i="8"/>
  <c r="D361" i="8"/>
  <c r="P360" i="8"/>
  <c r="O360" i="8"/>
  <c r="N360" i="8"/>
  <c r="M360" i="8"/>
  <c r="L360" i="8"/>
  <c r="K360" i="8"/>
  <c r="J360" i="8"/>
  <c r="I360" i="8"/>
  <c r="H360" i="8"/>
  <c r="G360" i="8"/>
  <c r="F360" i="8"/>
  <c r="E360" i="8"/>
  <c r="D360" i="8"/>
  <c r="P359" i="8"/>
  <c r="O359" i="8"/>
  <c r="N359" i="8"/>
  <c r="M359" i="8"/>
  <c r="L359" i="8"/>
  <c r="K359" i="8"/>
  <c r="J359" i="8"/>
  <c r="I359" i="8"/>
  <c r="H359" i="8"/>
  <c r="G359" i="8"/>
  <c r="F359" i="8"/>
  <c r="E359" i="8"/>
  <c r="D359" i="8"/>
  <c r="E123" i="84"/>
  <c r="E133" i="84"/>
  <c r="E39" i="84"/>
  <c r="E138" i="84"/>
  <c r="E81" i="84"/>
  <c r="E103" i="84"/>
  <c r="E71" i="84"/>
  <c r="E118" i="84"/>
  <c r="E75" i="84"/>
  <c r="E92" i="84"/>
  <c r="E109" i="84"/>
  <c r="E98" i="84"/>
  <c r="E87" i="84"/>
  <c r="E113" i="84"/>
  <c r="E129" i="84"/>
  <c r="E66" i="84"/>
  <c r="E62" i="84"/>
  <c r="E57" i="84"/>
  <c r="M499" i="13" l="1"/>
  <c r="M495" i="13" s="1"/>
  <c r="P494" i="13" s="1"/>
  <c r="M390" i="13"/>
  <c r="M385" i="13" s="1"/>
  <c r="I184" i="46"/>
  <c r="J184" i="46"/>
  <c r="I179" i="46"/>
  <c r="K704" i="13"/>
  <c r="M704" i="13" s="1"/>
  <c r="H131" i="46"/>
  <c r="O38" i="46"/>
  <c r="K72" i="13"/>
  <c r="M72" i="13" s="1"/>
  <c r="M71" i="13" s="1"/>
  <c r="H8" i="46"/>
  <c r="O8" i="46" s="1"/>
  <c r="O7" i="46" s="1"/>
  <c r="P8" i="46"/>
  <c r="P7" i="46" s="1"/>
  <c r="J180" i="46"/>
  <c r="I180" i="46"/>
  <c r="J185" i="46"/>
  <c r="I185" i="46"/>
  <c r="M281" i="13"/>
  <c r="I127" i="10" s="1"/>
  <c r="N127" i="10" s="1"/>
  <c r="P164" i="10"/>
  <c r="I186" i="46"/>
  <c r="I196" i="46"/>
  <c r="I195" i="46" s="1"/>
  <c r="H28" i="46"/>
  <c r="O28" i="46" s="1"/>
  <c r="K95" i="13"/>
  <c r="M95" i="13" s="1"/>
  <c r="K117" i="13"/>
  <c r="M117" i="13" s="1"/>
  <c r="P28" i="46"/>
  <c r="K830" i="13"/>
  <c r="M830" i="13" s="1"/>
  <c r="M831" i="13" s="1"/>
  <c r="M829" i="13" s="1"/>
  <c r="H190" i="46"/>
  <c r="P190" i="46"/>
  <c r="O188" i="46"/>
  <c r="K680" i="13"/>
  <c r="M680" i="13" s="1"/>
  <c r="H132" i="46"/>
  <c r="K139" i="13"/>
  <c r="M139" i="13" s="1"/>
  <c r="H29" i="46"/>
  <c r="K138" i="13"/>
  <c r="M138" i="13" s="1"/>
  <c r="H31" i="46"/>
  <c r="H140" i="46"/>
  <c r="K682" i="13"/>
  <c r="M682" i="13" s="1"/>
  <c r="M683" i="13" s="1"/>
  <c r="M676" i="13" s="1"/>
  <c r="I267" i="10" s="1"/>
  <c r="N267" i="10" s="1"/>
  <c r="K705" i="13"/>
  <c r="M705" i="13" s="1"/>
  <c r="J181" i="46"/>
  <c r="I181" i="46"/>
  <c r="J191" i="46"/>
  <c r="I191" i="46"/>
  <c r="J187" i="46"/>
  <c r="I187" i="46"/>
  <c r="M345" i="13"/>
  <c r="P344" i="13" s="1"/>
  <c r="P88" i="10"/>
  <c r="O1106" i="13"/>
  <c r="N193" i="46" s="1"/>
  <c r="P193" i="46" s="1"/>
  <c r="E193" i="46"/>
  <c r="K196" i="46"/>
  <c r="K195" i="46" s="1"/>
  <c r="K785" i="13"/>
  <c r="M785" i="13" s="1"/>
  <c r="H161" i="46"/>
  <c r="K642" i="13"/>
  <c r="M642" i="13" s="1"/>
  <c r="M643" i="13" s="1"/>
  <c r="M640" i="13" s="1"/>
  <c r="H137" i="46"/>
  <c r="K497" i="13"/>
  <c r="M497" i="13" s="1"/>
  <c r="H112" i="46"/>
  <c r="K787" i="13"/>
  <c r="M787" i="13" s="1"/>
  <c r="H158" i="46"/>
  <c r="P30" i="46"/>
  <c r="H30" i="46"/>
  <c r="O30" i="46" s="1"/>
  <c r="K176" i="13"/>
  <c r="M176" i="13" s="1"/>
  <c r="K157" i="13"/>
  <c r="M157" i="13" s="1"/>
  <c r="K659" i="13"/>
  <c r="M659" i="13" s="1"/>
  <c r="M661" i="13" s="1"/>
  <c r="M658" i="13" s="1"/>
  <c r="P657" i="13" s="1"/>
  <c r="H134" i="46"/>
  <c r="K137" i="13"/>
  <c r="M137" i="13" s="1"/>
  <c r="H32" i="46"/>
  <c r="O185" i="46"/>
  <c r="K177" i="13"/>
  <c r="M177" i="13" s="1"/>
  <c r="H35" i="46"/>
  <c r="O35" i="46" s="1"/>
  <c r="P35" i="46"/>
  <c r="N294" i="10"/>
  <c r="J183" i="46"/>
  <c r="I183" i="46"/>
  <c r="J192" i="46"/>
  <c r="M480" i="13"/>
  <c r="M476" i="13" s="1"/>
  <c r="M483" i="13" s="1"/>
  <c r="P275" i="10"/>
  <c r="P122" i="10"/>
  <c r="O1055" i="13"/>
  <c r="N188" i="46" s="1"/>
  <c r="P188" i="46" s="1"/>
  <c r="E188" i="46"/>
  <c r="K478" i="13"/>
  <c r="M478" i="13" s="1"/>
  <c r="H111" i="46"/>
  <c r="K156" i="13"/>
  <c r="M156" i="13" s="1"/>
  <c r="M155" i="13" s="1"/>
  <c r="H36" i="46"/>
  <c r="O36" i="46" s="1"/>
  <c r="P36" i="46"/>
  <c r="A3" i="16"/>
  <c r="A3" i="17"/>
  <c r="K1004" i="13"/>
  <c r="M1004" i="13" s="1"/>
  <c r="M1005" i="13" s="1"/>
  <c r="M1003" i="13" s="1"/>
  <c r="M1008" i="13" s="1"/>
  <c r="H192" i="46"/>
  <c r="I192" i="46" s="1"/>
  <c r="J190" i="46"/>
  <c r="H27" i="46"/>
  <c r="O27" i="46" s="1"/>
  <c r="K96" i="13"/>
  <c r="M96" i="13" s="1"/>
  <c r="P27" i="46"/>
  <c r="K118" i="13"/>
  <c r="M118" i="13" s="1"/>
  <c r="K314" i="10"/>
  <c r="P314" i="10" s="1"/>
  <c r="P94" i="10"/>
  <c r="N20" i="10"/>
  <c r="O20" i="10"/>
  <c r="I24" i="13"/>
  <c r="I639" i="13"/>
  <c r="Q255" i="10"/>
  <c r="O255" i="10"/>
  <c r="O53" i="10"/>
  <c r="I70" i="13"/>
  <c r="N298" i="10"/>
  <c r="P10" i="10"/>
  <c r="I194" i="13"/>
  <c r="O94" i="10"/>
  <c r="I324" i="13"/>
  <c r="Q144" i="10"/>
  <c r="O144" i="10"/>
  <c r="O82" i="10"/>
  <c r="I134" i="13"/>
  <c r="Q82" i="10"/>
  <c r="I657" i="13"/>
  <c r="Q260" i="10"/>
  <c r="O260" i="10"/>
  <c r="I723" i="13"/>
  <c r="O291" i="10"/>
  <c r="I768" i="13"/>
  <c r="O298" i="10"/>
  <c r="I618" i="13"/>
  <c r="O242" i="10"/>
  <c r="I783" i="13"/>
  <c r="O300" i="10"/>
  <c r="I753" i="13"/>
  <c r="O296" i="10"/>
  <c r="I453" i="13"/>
  <c r="O198" i="10"/>
  <c r="N40" i="10"/>
  <c r="O40" i="10"/>
  <c r="I40" i="13"/>
  <c r="I516" i="13"/>
  <c r="Q211" i="10"/>
  <c r="O211" i="10"/>
  <c r="O77" i="10"/>
  <c r="I112" i="13"/>
  <c r="I90" i="13"/>
  <c r="O66" i="10"/>
  <c r="I534" i="13"/>
  <c r="O216" i="10"/>
  <c r="P20" i="10"/>
  <c r="P40" i="10"/>
  <c r="P305" i="10"/>
  <c r="P255" i="10"/>
  <c r="P198" i="10"/>
  <c r="P216" i="10"/>
  <c r="I344" i="13"/>
  <c r="O156" i="10"/>
  <c r="I217" i="13"/>
  <c r="O99" i="10"/>
  <c r="I173" i="13"/>
  <c r="O91" i="10"/>
  <c r="I555" i="13"/>
  <c r="O227" i="10"/>
  <c r="O208" i="10"/>
  <c r="H210" i="10"/>
  <c r="I475" i="13"/>
  <c r="Q208" i="10"/>
  <c r="O305" i="10"/>
  <c r="I807" i="13"/>
  <c r="Q305" i="10"/>
  <c r="I301" i="13"/>
  <c r="O132" i="10"/>
  <c r="N47" i="10"/>
  <c r="I56" i="13"/>
  <c r="N58" i="13" s="1"/>
  <c r="E14" i="46" s="1"/>
  <c r="P47" i="10"/>
  <c r="O47" i="10"/>
  <c r="O294" i="10"/>
  <c r="I738" i="13"/>
  <c r="N10" i="10"/>
  <c r="I8" i="13"/>
  <c r="O10" i="10"/>
  <c r="N291" i="10"/>
  <c r="N296" i="10"/>
  <c r="P208" i="10"/>
  <c r="I699" i="13"/>
  <c r="O275" i="10"/>
  <c r="I261" i="13"/>
  <c r="O122" i="10"/>
  <c r="I384" i="13"/>
  <c r="O164" i="10"/>
  <c r="O127" i="10"/>
  <c r="I280" i="13"/>
  <c r="I154" i="13"/>
  <c r="O88" i="10"/>
  <c r="I241" i="13"/>
  <c r="Q106" i="10"/>
  <c r="O106" i="10"/>
  <c r="P77" i="10"/>
  <c r="P300" i="10"/>
  <c r="P211" i="10"/>
  <c r="P242" i="10"/>
  <c r="P132" i="10"/>
  <c r="I576" i="13"/>
  <c r="O237" i="10"/>
  <c r="I675" i="13"/>
  <c r="O267" i="10"/>
  <c r="I597" i="13"/>
  <c r="O239" i="10"/>
  <c r="I363" i="13"/>
  <c r="O160" i="10"/>
  <c r="I237" i="10"/>
  <c r="N237" i="10" s="1"/>
  <c r="P576" i="13"/>
  <c r="K91" i="10"/>
  <c r="P91" i="10" s="1"/>
  <c r="I239" i="10"/>
  <c r="N239" i="10" s="1"/>
  <c r="P597" i="13"/>
  <c r="M247" i="13"/>
  <c r="M242" i="13" s="1"/>
  <c r="I106" i="10" s="1"/>
  <c r="N106" i="10" s="1"/>
  <c r="I242" i="10"/>
  <c r="N242" i="10" s="1"/>
  <c r="P618" i="13"/>
  <c r="I227" i="10"/>
  <c r="N227" i="10" s="1"/>
  <c r="P555" i="13"/>
  <c r="R280" i="13"/>
  <c r="K144" i="10"/>
  <c r="P144" i="10" s="1"/>
  <c r="K82" i="10"/>
  <c r="P82" i="10" s="1"/>
  <c r="K325" i="10"/>
  <c r="P325" i="10" s="1"/>
  <c r="M539" i="13"/>
  <c r="M535" i="13" s="1"/>
  <c r="K106" i="10"/>
  <c r="P106" i="10" s="1"/>
  <c r="K322" i="10"/>
  <c r="P322" i="10" s="1"/>
  <c r="K327" i="10"/>
  <c r="P327" i="10" s="1"/>
  <c r="P175" i="10"/>
  <c r="I409" i="13"/>
  <c r="O173" i="10"/>
  <c r="P173" i="10"/>
  <c r="I431" i="13"/>
  <c r="O175" i="10"/>
  <c r="K156" i="10"/>
  <c r="P156" i="10" s="1"/>
  <c r="R516" i="13"/>
  <c r="R8" i="13"/>
  <c r="R40" i="13"/>
  <c r="R675" i="13"/>
  <c r="K321" i="10"/>
  <c r="P321" i="10" s="1"/>
  <c r="R1019" i="13"/>
  <c r="M940" i="13"/>
  <c r="I198" i="10"/>
  <c r="N198" i="10" s="1"/>
  <c r="P453" i="13"/>
  <c r="I175" i="10"/>
  <c r="N175" i="10" s="1"/>
  <c r="P431" i="13"/>
  <c r="M991" i="13"/>
  <c r="M1093" i="13"/>
  <c r="R24" i="13"/>
  <c r="K312" i="10"/>
  <c r="P312" i="10" s="1"/>
  <c r="K160" i="10"/>
  <c r="P160" i="10" s="1"/>
  <c r="R475" i="13"/>
  <c r="R933" i="13"/>
  <c r="R1087" i="13"/>
  <c r="I173" i="10"/>
  <c r="N173" i="10" s="1"/>
  <c r="P409" i="13"/>
  <c r="R699" i="13"/>
  <c r="R1104" i="13"/>
  <c r="I328" i="10"/>
  <c r="N328" i="10" s="1"/>
  <c r="M330" i="13"/>
  <c r="M325" i="13" s="1"/>
  <c r="I164" i="10"/>
  <c r="N164" i="10" s="1"/>
  <c r="P384" i="13"/>
  <c r="I132" i="10"/>
  <c r="N132" i="10" s="1"/>
  <c r="P301" i="13"/>
  <c r="K260" i="10"/>
  <c r="P260" i="10" s="1"/>
  <c r="K53" i="10"/>
  <c r="P53" i="10" s="1"/>
  <c r="K66" i="10"/>
  <c r="P66" i="10" s="1"/>
  <c r="R494" i="13"/>
  <c r="R807" i="13"/>
  <c r="K313" i="10"/>
  <c r="P313" i="10" s="1"/>
  <c r="R916" i="13"/>
  <c r="M922" i="13"/>
  <c r="P985" i="13"/>
  <c r="R1053" i="13"/>
  <c r="M1076" i="13"/>
  <c r="M91" i="13"/>
  <c r="P90" i="13" s="1"/>
  <c r="M113" i="13"/>
  <c r="I77" i="10" s="1"/>
  <c r="N77" i="10" s="1"/>
  <c r="M1059" i="13"/>
  <c r="M646" i="13"/>
  <c r="R864" i="13"/>
  <c r="R847" i="13"/>
  <c r="R1002" i="13"/>
  <c r="P1053" i="13"/>
  <c r="P1070" i="13"/>
  <c r="I99" i="10"/>
  <c r="N99" i="10" s="1"/>
  <c r="P217" i="13"/>
  <c r="I94" i="10"/>
  <c r="N94" i="10" s="1"/>
  <c r="P194" i="13"/>
  <c r="O849" i="13"/>
  <c r="N181" i="46" s="1"/>
  <c r="P181" i="46" s="1"/>
  <c r="K315" i="10"/>
  <c r="P315" i="10" s="1"/>
  <c r="M887" i="13"/>
  <c r="K320" i="10"/>
  <c r="P320" i="10" s="1"/>
  <c r="M1020" i="13"/>
  <c r="I324" i="10" s="1"/>
  <c r="N324" i="10" s="1"/>
  <c r="I326" i="10"/>
  <c r="N326" i="10" s="1"/>
  <c r="O918" i="13"/>
  <c r="N191" i="46" s="1"/>
  <c r="P191" i="46" s="1"/>
  <c r="O935" i="13"/>
  <c r="N186" i="46" s="1"/>
  <c r="M952" i="13"/>
  <c r="M957" i="13" s="1"/>
  <c r="O1004" i="13"/>
  <c r="N192" i="46" s="1"/>
  <c r="P192" i="46" s="1"/>
  <c r="P1104" i="13"/>
  <c r="O987" i="13"/>
  <c r="N185" i="46" s="1"/>
  <c r="P185" i="46" s="1"/>
  <c r="O866" i="13"/>
  <c r="N180" i="46" s="1"/>
  <c r="P180" i="46" s="1"/>
  <c r="O900" i="13"/>
  <c r="N179" i="46" s="1"/>
  <c r="P179" i="46" s="1"/>
  <c r="O953" i="13"/>
  <c r="N183" i="46" s="1"/>
  <c r="P183" i="46" s="1"/>
  <c r="O970" i="13"/>
  <c r="N184" i="46" s="1"/>
  <c r="P184" i="46" s="1"/>
  <c r="O1021" i="13"/>
  <c r="N187" i="46" s="1"/>
  <c r="P187" i="46" s="1"/>
  <c r="O1038" i="13"/>
  <c r="N189" i="46" s="1"/>
  <c r="P189" i="46" s="1"/>
  <c r="M706" i="13"/>
  <c r="M700" i="13" s="1"/>
  <c r="I275" i="10" s="1"/>
  <c r="N275" i="10" s="1"/>
  <c r="I325" i="10"/>
  <c r="N325" i="10" s="1"/>
  <c r="M1042" i="13"/>
  <c r="P1036" i="13"/>
  <c r="I321" i="10"/>
  <c r="N321" i="10" s="1"/>
  <c r="M974" i="13"/>
  <c r="P933" i="13"/>
  <c r="I319" i="10"/>
  <c r="N319" i="10" s="1"/>
  <c r="I315" i="10"/>
  <c r="N315" i="10" s="1"/>
  <c r="P881" i="13"/>
  <c r="M904" i="13"/>
  <c r="P898" i="13"/>
  <c r="I316" i="10"/>
  <c r="N316" i="10" s="1"/>
  <c r="I260" i="10"/>
  <c r="N260" i="10" s="1"/>
  <c r="M816" i="13"/>
  <c r="P807" i="13"/>
  <c r="I305" i="10"/>
  <c r="N305" i="10" s="1"/>
  <c r="M522" i="13"/>
  <c r="M664" i="13"/>
  <c r="P154" i="13"/>
  <c r="I211" i="10"/>
  <c r="N211" i="10" s="1"/>
  <c r="I255" i="10"/>
  <c r="N255" i="10" s="1"/>
  <c r="P639" i="13"/>
  <c r="P261" i="13"/>
  <c r="I122" i="10"/>
  <c r="N122" i="10" s="1"/>
  <c r="I160" i="10"/>
  <c r="N160" i="10" s="1"/>
  <c r="P475" i="13"/>
  <c r="I88" i="10"/>
  <c r="N88" i="10" s="1"/>
  <c r="P280" i="13"/>
  <c r="I156" i="10"/>
  <c r="N156" i="10" s="1"/>
  <c r="M333" i="13"/>
  <c r="P324" i="13"/>
  <c r="I144" i="10"/>
  <c r="N144" i="10" s="1"/>
  <c r="M250" i="13"/>
  <c r="P241" i="13"/>
  <c r="P112" i="13"/>
  <c r="O331" i="10"/>
  <c r="I131" i="84"/>
  <c r="I127" i="84"/>
  <c r="E73" i="84"/>
  <c r="E44" i="84"/>
  <c r="E124" i="84"/>
  <c r="E120" i="84"/>
  <c r="E115" i="84"/>
  <c r="E100" i="84"/>
  <c r="E96" i="84" s="1"/>
  <c r="E94" i="84"/>
  <c r="E89" i="84"/>
  <c r="E83" i="84"/>
  <c r="E77" i="84"/>
  <c r="E72" i="84"/>
  <c r="E68" i="84"/>
  <c r="E63" i="84"/>
  <c r="E59" i="84"/>
  <c r="E53" i="84"/>
  <c r="E48" i="84"/>
  <c r="E41" i="84"/>
  <c r="I36" i="84"/>
  <c r="K36" i="84" s="1"/>
  <c r="E78" i="84"/>
  <c r="E84" i="84"/>
  <c r="P64" i="10" l="1"/>
  <c r="D9" i="9" s="1"/>
  <c r="P178" i="46"/>
  <c r="J194" i="46" s="1"/>
  <c r="I188" i="46"/>
  <c r="J188" i="46"/>
  <c r="O186" i="46"/>
  <c r="P186" i="46"/>
  <c r="K192" i="46"/>
  <c r="O180" i="46"/>
  <c r="M788" i="13"/>
  <c r="M784" i="13" s="1"/>
  <c r="O193" i="46"/>
  <c r="O179" i="46"/>
  <c r="K187" i="46"/>
  <c r="O181" i="46"/>
  <c r="K185" i="46"/>
  <c r="I208" i="10"/>
  <c r="N208" i="10" s="1"/>
  <c r="I210" i="10"/>
  <c r="N210" i="10" s="1"/>
  <c r="P951" i="13"/>
  <c r="O187" i="46"/>
  <c r="O191" i="46"/>
  <c r="M140" i="13"/>
  <c r="M135" i="13" s="1"/>
  <c r="K191" i="46"/>
  <c r="O183" i="46"/>
  <c r="I190" i="46"/>
  <c r="O190" i="46"/>
  <c r="J178" i="46"/>
  <c r="K183" i="46" s="1"/>
  <c r="P70" i="13"/>
  <c r="I53" i="10"/>
  <c r="N53" i="10" s="1"/>
  <c r="N64" i="10" s="1"/>
  <c r="P1002" i="13"/>
  <c r="I323" i="10"/>
  <c r="N323" i="10" s="1"/>
  <c r="I320" i="10"/>
  <c r="N320" i="10" s="1"/>
  <c r="O192" i="46"/>
  <c r="O189" i="46"/>
  <c r="M174" i="13"/>
  <c r="J193" i="46"/>
  <c r="I193" i="46"/>
  <c r="O184" i="46"/>
  <c r="P828" i="13"/>
  <c r="I312" i="10"/>
  <c r="N312" i="10" s="1"/>
  <c r="N369" i="13"/>
  <c r="N366" i="13"/>
  <c r="N367" i="13"/>
  <c r="N371" i="13"/>
  <c r="N365" i="13"/>
  <c r="E68" i="46" s="1"/>
  <c r="N372" i="13"/>
  <c r="N682" i="13"/>
  <c r="N679" i="13"/>
  <c r="O679" i="13" s="1"/>
  <c r="N677" i="13"/>
  <c r="N678" i="13"/>
  <c r="N681" i="13"/>
  <c r="O681" i="13" s="1"/>
  <c r="N680" i="13"/>
  <c r="E132" i="46" s="1"/>
  <c r="N687" i="13"/>
  <c r="N685" i="13"/>
  <c r="N288" i="13"/>
  <c r="E79" i="46" s="1"/>
  <c r="N283" i="13"/>
  <c r="N282" i="13"/>
  <c r="E70" i="46" s="1"/>
  <c r="N284" i="13"/>
  <c r="E67" i="46" s="1"/>
  <c r="N289" i="13"/>
  <c r="N286" i="13"/>
  <c r="N479" i="13"/>
  <c r="E109" i="46" s="1"/>
  <c r="N482" i="13"/>
  <c r="N478" i="13"/>
  <c r="E111" i="46" s="1"/>
  <c r="N477" i="13"/>
  <c r="N558" i="13"/>
  <c r="O558" i="13" s="1"/>
  <c r="N559" i="13"/>
  <c r="O559" i="13" s="1"/>
  <c r="N564" i="13"/>
  <c r="N557" i="13"/>
  <c r="O557" i="13" s="1"/>
  <c r="N562" i="13"/>
  <c r="N227" i="13"/>
  <c r="N219" i="13"/>
  <c r="O219" i="13" s="1"/>
  <c r="N225" i="13"/>
  <c r="N228" i="13"/>
  <c r="E46" i="46" s="1"/>
  <c r="N221" i="13"/>
  <c r="O221" i="13" s="1"/>
  <c r="N220" i="13"/>
  <c r="O220" i="13" s="1"/>
  <c r="N222" i="13"/>
  <c r="O222" i="13" s="1"/>
  <c r="N95" i="13"/>
  <c r="N93" i="13"/>
  <c r="N100" i="13"/>
  <c r="N98" i="13"/>
  <c r="N94" i="13"/>
  <c r="N92" i="13"/>
  <c r="N96" i="13"/>
  <c r="N622" i="13"/>
  <c r="O622" i="13" s="1"/>
  <c r="N625" i="13"/>
  <c r="N621" i="13"/>
  <c r="O621" i="13" s="1"/>
  <c r="N620" i="13"/>
  <c r="O620" i="13" s="1"/>
  <c r="N627" i="13"/>
  <c r="N76" i="13"/>
  <c r="O76" i="13" s="1"/>
  <c r="N12" i="46" s="1"/>
  <c r="N72" i="13"/>
  <c r="E8" i="46" s="1"/>
  <c r="N74" i="13"/>
  <c r="N642" i="13"/>
  <c r="E137" i="46" s="1"/>
  <c r="N645" i="13"/>
  <c r="N641" i="13"/>
  <c r="E135" i="46" s="1"/>
  <c r="N245" i="13"/>
  <c r="N246" i="13"/>
  <c r="N249" i="13"/>
  <c r="N243" i="13"/>
  <c r="N244" i="13"/>
  <c r="N263" i="13"/>
  <c r="N264" i="13"/>
  <c r="E62" i="46" s="1"/>
  <c r="N266" i="13"/>
  <c r="N268" i="13"/>
  <c r="N811" i="13"/>
  <c r="E159" i="46" s="1"/>
  <c r="N815" i="13"/>
  <c r="N809" i="13"/>
  <c r="E162" i="46" s="1"/>
  <c r="N810" i="13"/>
  <c r="E157" i="46" s="1"/>
  <c r="N812" i="13"/>
  <c r="E156" i="46" s="1"/>
  <c r="I494" i="13"/>
  <c r="O210" i="10"/>
  <c r="N117" i="13"/>
  <c r="N118" i="13"/>
  <c r="N114" i="13"/>
  <c r="N116" i="13"/>
  <c r="N115" i="13"/>
  <c r="N122" i="13"/>
  <c r="N120" i="13"/>
  <c r="N519" i="13"/>
  <c r="E110" i="46" s="1"/>
  <c r="N518" i="13"/>
  <c r="E108" i="46" s="1"/>
  <c r="N521" i="13"/>
  <c r="E117" i="46" s="1"/>
  <c r="N138" i="13"/>
  <c r="E31" i="46" s="1"/>
  <c r="N142" i="13"/>
  <c r="N136" i="13"/>
  <c r="E33" i="46" s="1"/>
  <c r="N137" i="13"/>
  <c r="E32" i="46" s="1"/>
  <c r="N139" i="13"/>
  <c r="E29" i="46" s="1"/>
  <c r="N329" i="13"/>
  <c r="O329" i="13" s="1"/>
  <c r="N332" i="13"/>
  <c r="N328" i="13"/>
  <c r="O328" i="13" s="1"/>
  <c r="N327" i="13"/>
  <c r="O327" i="13" s="1"/>
  <c r="N326" i="13"/>
  <c r="O326" i="13" s="1"/>
  <c r="N28" i="13"/>
  <c r="N26" i="13"/>
  <c r="N601" i="13"/>
  <c r="N599" i="13"/>
  <c r="N600" i="13"/>
  <c r="N606" i="13"/>
  <c r="N604" i="13"/>
  <c r="N578" i="13"/>
  <c r="O578" i="13" s="1"/>
  <c r="N580" i="13"/>
  <c r="O580" i="13" s="1"/>
  <c r="N583" i="13"/>
  <c r="N585" i="13"/>
  <c r="N579" i="13"/>
  <c r="O579" i="13" s="1"/>
  <c r="N12" i="13"/>
  <c r="E13" i="46" s="1"/>
  <c r="N10" i="13"/>
  <c r="N181" i="13"/>
  <c r="E48" i="46" s="1"/>
  <c r="N182" i="13"/>
  <c r="N175" i="13"/>
  <c r="E37" i="46" s="1"/>
  <c r="N177" i="13"/>
  <c r="E35" i="46" s="1"/>
  <c r="N176" i="13"/>
  <c r="N179" i="13"/>
  <c r="N346" i="13"/>
  <c r="N351" i="13"/>
  <c r="N349" i="13"/>
  <c r="N347" i="13"/>
  <c r="N541" i="13"/>
  <c r="N538" i="13"/>
  <c r="N537" i="13"/>
  <c r="N536" i="13"/>
  <c r="N543" i="13"/>
  <c r="N44" i="13"/>
  <c r="N42" i="13"/>
  <c r="N457" i="13"/>
  <c r="N456" i="13"/>
  <c r="N455" i="13"/>
  <c r="N460" i="13"/>
  <c r="N458" i="13"/>
  <c r="N462" i="13"/>
  <c r="N793" i="13"/>
  <c r="E169" i="46" s="1"/>
  <c r="N787" i="13"/>
  <c r="E158" i="46" s="1"/>
  <c r="N794" i="13"/>
  <c r="E167" i="46" s="1"/>
  <c r="N785" i="13"/>
  <c r="E161" i="46" s="1"/>
  <c r="N792" i="13"/>
  <c r="E168" i="46" s="1"/>
  <c r="N786" i="13"/>
  <c r="E160" i="46" s="1"/>
  <c r="N790" i="13"/>
  <c r="P210" i="10"/>
  <c r="P214" i="10" s="1"/>
  <c r="D125" i="9" s="1"/>
  <c r="D131" i="9" s="1"/>
  <c r="N156" i="13"/>
  <c r="E36" i="46" s="1"/>
  <c r="N157" i="13"/>
  <c r="E30" i="46" s="1"/>
  <c r="N161" i="13"/>
  <c r="E45" i="46" s="1"/>
  <c r="N159" i="13"/>
  <c r="N395" i="13"/>
  <c r="N396" i="13"/>
  <c r="E81" i="46" s="1"/>
  <c r="N387" i="13"/>
  <c r="O387" i="13" s="1"/>
  <c r="N388" i="13"/>
  <c r="O388" i="13" s="1"/>
  <c r="N389" i="13"/>
  <c r="O389" i="13" s="1"/>
  <c r="N386" i="13"/>
  <c r="O386" i="13" s="1"/>
  <c r="N394" i="13"/>
  <c r="N392" i="13"/>
  <c r="N705" i="13"/>
  <c r="O705" i="13" s="1"/>
  <c r="N702" i="13"/>
  <c r="O702" i="13" s="1"/>
  <c r="N704" i="13"/>
  <c r="E131" i="46" s="1"/>
  <c r="N703" i="13"/>
  <c r="O703" i="13" s="1"/>
  <c r="N708" i="13"/>
  <c r="N710" i="13"/>
  <c r="N701" i="13"/>
  <c r="O701" i="13" s="1"/>
  <c r="N311" i="13"/>
  <c r="E80" i="46" s="1"/>
  <c r="N304" i="13"/>
  <c r="E59" i="46" s="1"/>
  <c r="N306" i="13"/>
  <c r="E66" i="46" s="1"/>
  <c r="N303" i="13"/>
  <c r="N309" i="13"/>
  <c r="E75" i="46" s="1"/>
  <c r="N312" i="13"/>
  <c r="E78" i="46" s="1"/>
  <c r="N305" i="13"/>
  <c r="E60" i="46" s="1"/>
  <c r="N660" i="13"/>
  <c r="E136" i="46" s="1"/>
  <c r="N663" i="13"/>
  <c r="N659" i="13"/>
  <c r="E134" i="46" s="1"/>
  <c r="N204" i="13"/>
  <c r="E50" i="46" s="1"/>
  <c r="N205" i="13"/>
  <c r="E47" i="46" s="1"/>
  <c r="N199" i="13"/>
  <c r="O199" i="13" s="1"/>
  <c r="N34" i="46" s="1"/>
  <c r="N197" i="13"/>
  <c r="E25" i="46" s="1"/>
  <c r="N202" i="13"/>
  <c r="E43" i="46" s="1"/>
  <c r="N198" i="13"/>
  <c r="E26" i="46" s="1"/>
  <c r="N196" i="13"/>
  <c r="E39" i="46" s="1"/>
  <c r="I216" i="10"/>
  <c r="N216" i="10" s="1"/>
  <c r="P534" i="13"/>
  <c r="I66" i="10"/>
  <c r="N66" i="10" s="1"/>
  <c r="N414" i="13"/>
  <c r="N411" i="13"/>
  <c r="N413" i="13"/>
  <c r="N417" i="13"/>
  <c r="N412" i="13"/>
  <c r="N419" i="13"/>
  <c r="E98" i="46" s="1"/>
  <c r="N435" i="13"/>
  <c r="O435" i="13" s="1"/>
  <c r="N434" i="13"/>
  <c r="O434" i="13" s="1"/>
  <c r="N433" i="13"/>
  <c r="O433" i="13" s="1"/>
  <c r="N439" i="13"/>
  <c r="N436" i="13"/>
  <c r="O436" i="13" s="1"/>
  <c r="N441" i="13"/>
  <c r="P675" i="13"/>
  <c r="P699" i="13"/>
  <c r="P331" i="10"/>
  <c r="D212" i="9" s="1"/>
  <c r="D218" i="9" s="1"/>
  <c r="P1019" i="13"/>
  <c r="M1025" i="13"/>
  <c r="N214" i="10"/>
  <c r="O214" i="10"/>
  <c r="O64" i="10"/>
  <c r="D7" i="9" s="1"/>
  <c r="O206" i="10"/>
  <c r="O310" i="10"/>
  <c r="P206" i="10"/>
  <c r="D96" i="9" s="1"/>
  <c r="D102" i="9" s="1"/>
  <c r="N331" i="10"/>
  <c r="D210" i="9" s="1"/>
  <c r="D217" i="9" s="1"/>
  <c r="N206" i="10"/>
  <c r="E107" i="84"/>
  <c r="E96" i="46" l="1"/>
  <c r="E71" i="46"/>
  <c r="E165" i="46"/>
  <c r="E65" i="46"/>
  <c r="E38" i="46"/>
  <c r="E24" i="46"/>
  <c r="E130" i="46"/>
  <c r="E74" i="46"/>
  <c r="E34" i="46"/>
  <c r="E28" i="46"/>
  <c r="E146" i="46"/>
  <c r="E138" i="46"/>
  <c r="E10" i="46"/>
  <c r="E144" i="46"/>
  <c r="E69" i="46"/>
  <c r="E61" i="46"/>
  <c r="E42" i="46"/>
  <c r="E147" i="46"/>
  <c r="E143" i="46"/>
  <c r="E12" i="46"/>
  <c r="E77" i="46"/>
  <c r="E64" i="46"/>
  <c r="E63" i="46"/>
  <c r="J63" i="46" s="1"/>
  <c r="E27" i="46"/>
  <c r="E49" i="46"/>
  <c r="E140" i="46"/>
  <c r="P34" i="46"/>
  <c r="O34" i="46"/>
  <c r="J161" i="46"/>
  <c r="I161" i="46"/>
  <c r="J143" i="46"/>
  <c r="I143" i="46"/>
  <c r="J33" i="46"/>
  <c r="I33" i="46"/>
  <c r="I108" i="46"/>
  <c r="J108" i="46"/>
  <c r="J157" i="46"/>
  <c r="I157" i="46"/>
  <c r="J64" i="46"/>
  <c r="I64" i="46"/>
  <c r="J27" i="46"/>
  <c r="I27" i="46"/>
  <c r="J111" i="46"/>
  <c r="I111" i="46"/>
  <c r="J140" i="46"/>
  <c r="I140" i="46"/>
  <c r="O412" i="13"/>
  <c r="N90" i="46" s="1"/>
  <c r="E90" i="46"/>
  <c r="O414" i="13"/>
  <c r="N91" i="46" s="1"/>
  <c r="E91" i="46"/>
  <c r="J37" i="46"/>
  <c r="I37" i="46"/>
  <c r="J96" i="46"/>
  <c r="I96" i="46"/>
  <c r="I95" i="46" s="1"/>
  <c r="J26" i="46"/>
  <c r="I26" i="46"/>
  <c r="J136" i="46"/>
  <c r="I136" i="46"/>
  <c r="J71" i="46"/>
  <c r="I71" i="46"/>
  <c r="I131" i="46"/>
  <c r="J131" i="46"/>
  <c r="J165" i="46"/>
  <c r="J164" i="46" s="1"/>
  <c r="K165" i="46" s="1"/>
  <c r="K164" i="46" s="1"/>
  <c r="I165" i="46"/>
  <c r="I164" i="46" s="1"/>
  <c r="O536" i="13"/>
  <c r="N139" i="46" s="1"/>
  <c r="E139" i="46"/>
  <c r="J110" i="46"/>
  <c r="I110" i="46"/>
  <c r="I162" i="46"/>
  <c r="J162" i="46"/>
  <c r="J65" i="46"/>
  <c r="I65" i="46"/>
  <c r="I135" i="46"/>
  <c r="J135" i="46"/>
  <c r="J8" i="46"/>
  <c r="I8" i="46"/>
  <c r="I7" i="46" s="1"/>
  <c r="J38" i="46"/>
  <c r="I38" i="46"/>
  <c r="I24" i="46"/>
  <c r="J24" i="46"/>
  <c r="J67" i="46"/>
  <c r="I67" i="46"/>
  <c r="J130" i="46"/>
  <c r="I130" i="46"/>
  <c r="K184" i="46"/>
  <c r="K180" i="46"/>
  <c r="I82" i="10"/>
  <c r="N82" i="10" s="1"/>
  <c r="M143" i="13"/>
  <c r="P134" i="13"/>
  <c r="K190" i="46"/>
  <c r="I300" i="10"/>
  <c r="N300" i="10" s="1"/>
  <c r="N310" i="10" s="1"/>
  <c r="P783" i="13"/>
  <c r="J39" i="46"/>
  <c r="I39" i="46"/>
  <c r="J43" i="46"/>
  <c r="I43" i="46"/>
  <c r="I60" i="46"/>
  <c r="J60" i="46"/>
  <c r="J66" i="46"/>
  <c r="I66" i="46"/>
  <c r="J30" i="46"/>
  <c r="I30" i="46"/>
  <c r="J160" i="46"/>
  <c r="I160" i="46"/>
  <c r="I158" i="46"/>
  <c r="J158" i="46"/>
  <c r="O537" i="13"/>
  <c r="E129" i="46"/>
  <c r="J29" i="46"/>
  <c r="I29" i="46"/>
  <c r="J31" i="46"/>
  <c r="I31" i="46"/>
  <c r="J62" i="46"/>
  <c r="I62" i="46"/>
  <c r="J74" i="46"/>
  <c r="I74" i="46"/>
  <c r="I73" i="46" s="1"/>
  <c r="J34" i="46"/>
  <c r="I34" i="46"/>
  <c r="I28" i="46"/>
  <c r="J28" i="46"/>
  <c r="J109" i="46"/>
  <c r="I109" i="46"/>
  <c r="J70" i="46"/>
  <c r="I70" i="46"/>
  <c r="J138" i="46"/>
  <c r="I138" i="46"/>
  <c r="J68" i="46"/>
  <c r="I68" i="46"/>
  <c r="K182" i="46"/>
  <c r="K186" i="46"/>
  <c r="K189" i="46"/>
  <c r="K179" i="46"/>
  <c r="O178" i="46"/>
  <c r="I194" i="46" s="1"/>
  <c r="I178" i="46" s="1"/>
  <c r="K188" i="46"/>
  <c r="K194" i="46"/>
  <c r="J75" i="46"/>
  <c r="I75" i="46"/>
  <c r="O413" i="13"/>
  <c r="N92" i="46" s="1"/>
  <c r="E92" i="46"/>
  <c r="O411" i="13"/>
  <c r="N93" i="46" s="1"/>
  <c r="E93" i="46"/>
  <c r="J25" i="46"/>
  <c r="I25" i="46"/>
  <c r="J134" i="46"/>
  <c r="I134" i="46"/>
  <c r="J59" i="46"/>
  <c r="I59" i="46"/>
  <c r="I36" i="46"/>
  <c r="J36" i="46"/>
  <c r="O538" i="13"/>
  <c r="E133" i="46"/>
  <c r="J35" i="46"/>
  <c r="I35" i="46"/>
  <c r="J10" i="46"/>
  <c r="I10" i="46"/>
  <c r="I9" i="46" s="1"/>
  <c r="J144" i="46"/>
  <c r="I144" i="46"/>
  <c r="I32" i="46"/>
  <c r="J32" i="46"/>
  <c r="J117" i="46"/>
  <c r="I117" i="46"/>
  <c r="J156" i="46"/>
  <c r="I156" i="46"/>
  <c r="J159" i="46"/>
  <c r="I159" i="46"/>
  <c r="J69" i="46"/>
  <c r="I69" i="46"/>
  <c r="J61" i="46"/>
  <c r="I61" i="46"/>
  <c r="J137" i="46"/>
  <c r="I137" i="46"/>
  <c r="J42" i="46"/>
  <c r="I42" i="46"/>
  <c r="J132" i="46"/>
  <c r="I132" i="46"/>
  <c r="K193" i="46"/>
  <c r="I91" i="10"/>
  <c r="N91" i="10" s="1"/>
  <c r="P173" i="13"/>
  <c r="K181" i="46"/>
  <c r="O196" i="13"/>
  <c r="N39" i="46" s="1"/>
  <c r="O785" i="13"/>
  <c r="N161" i="46" s="1"/>
  <c r="O198" i="13"/>
  <c r="N26" i="46" s="1"/>
  <c r="O660" i="13"/>
  <c r="N136" i="46" s="1"/>
  <c r="O303" i="13"/>
  <c r="N71" i="46" s="1"/>
  <c r="O704" i="13"/>
  <c r="N131" i="46" s="1"/>
  <c r="O794" i="13"/>
  <c r="N167" i="46" s="1"/>
  <c r="O599" i="13"/>
  <c r="O809" i="13"/>
  <c r="N162" i="46" s="1"/>
  <c r="O243" i="13"/>
  <c r="N65" i="46" s="1"/>
  <c r="O641" i="13"/>
  <c r="N135" i="46" s="1"/>
  <c r="O680" i="13"/>
  <c r="N132" i="46" s="1"/>
  <c r="O786" i="13"/>
  <c r="N160" i="46" s="1"/>
  <c r="O787" i="13"/>
  <c r="N158" i="46" s="1"/>
  <c r="O479" i="13"/>
  <c r="N109" i="46" s="1"/>
  <c r="O682" i="13"/>
  <c r="N140" i="46" s="1"/>
  <c r="O305" i="13"/>
  <c r="N60" i="46" s="1"/>
  <c r="O306" i="13"/>
  <c r="N66" i="46" s="1"/>
  <c r="N503" i="13"/>
  <c r="E119" i="46" s="1"/>
  <c r="N497" i="13"/>
  <c r="E112" i="46" s="1"/>
  <c r="N501" i="13"/>
  <c r="E116" i="46" s="1"/>
  <c r="N496" i="13"/>
  <c r="E107" i="46" s="1"/>
  <c r="N504" i="13"/>
  <c r="E120" i="46" s="1"/>
  <c r="N498" i="13"/>
  <c r="O498" i="13" s="1"/>
  <c r="O197" i="13"/>
  <c r="N25" i="46" s="1"/>
  <c r="O659" i="13"/>
  <c r="N134" i="46" s="1"/>
  <c r="O304" i="13"/>
  <c r="N59" i="46" s="1"/>
  <c r="O792" i="13"/>
  <c r="N168" i="46" s="1"/>
  <c r="O793" i="13"/>
  <c r="N169" i="46" s="1"/>
  <c r="O137" i="13"/>
  <c r="N32" i="46" s="1"/>
  <c r="O812" i="13"/>
  <c r="N156" i="46" s="1"/>
  <c r="O811" i="13"/>
  <c r="N159" i="46" s="1"/>
  <c r="O246" i="13"/>
  <c r="N61" i="46" s="1"/>
  <c r="O642" i="13"/>
  <c r="N137" i="46" s="1"/>
  <c r="O477" i="13"/>
  <c r="N113" i="46" s="1"/>
  <c r="O678" i="13"/>
  <c r="N130" i="46" s="1"/>
  <c r="O601" i="13"/>
  <c r="O139" i="13"/>
  <c r="N29" i="46" s="1"/>
  <c r="O138" i="13"/>
  <c r="N31" i="46" s="1"/>
  <c r="O600" i="13"/>
  <c r="O136" i="13"/>
  <c r="N33" i="46" s="1"/>
  <c r="O810" i="13"/>
  <c r="N157" i="46" s="1"/>
  <c r="O244" i="13"/>
  <c r="N64" i="46" s="1"/>
  <c r="O245" i="13"/>
  <c r="N63" i="46" s="1"/>
  <c r="O478" i="13"/>
  <c r="N111" i="46" s="1"/>
  <c r="O677" i="13"/>
  <c r="N138" i="46" s="1"/>
  <c r="D94" i="9"/>
  <c r="D101" i="9" s="1"/>
  <c r="D123" i="9"/>
  <c r="D130" i="9" s="1"/>
  <c r="D181" i="9"/>
  <c r="D188" i="9" s="1"/>
  <c r="E137" i="84"/>
  <c r="I135" i="84" s="1"/>
  <c r="K135" i="84" s="1"/>
  <c r="J135" i="84" s="1"/>
  <c r="E122" i="84"/>
  <c r="E108" i="84"/>
  <c r="E102" i="84"/>
  <c r="E69" i="84"/>
  <c r="E60" i="84"/>
  <c r="J116" i="46" l="1"/>
  <c r="J115" i="46" s="1"/>
  <c r="K117" i="46" s="1"/>
  <c r="I116" i="46"/>
  <c r="I115" i="46" s="1"/>
  <c r="N133" i="46"/>
  <c r="P133" i="46" s="1"/>
  <c r="I63" i="46"/>
  <c r="E113" i="46"/>
  <c r="I142" i="46"/>
  <c r="N129" i="46"/>
  <c r="P129" i="46" s="1"/>
  <c r="J142" i="46"/>
  <c r="K143" i="46" s="1"/>
  <c r="P31" i="46"/>
  <c r="O31" i="46"/>
  <c r="P113" i="46"/>
  <c r="O113" i="46"/>
  <c r="P156" i="46"/>
  <c r="O156" i="46"/>
  <c r="P59" i="46"/>
  <c r="O59" i="46"/>
  <c r="P109" i="46"/>
  <c r="O109" i="46"/>
  <c r="P135" i="46"/>
  <c r="O135" i="46"/>
  <c r="P26" i="46"/>
  <c r="O26" i="46"/>
  <c r="P93" i="46"/>
  <c r="O93" i="46"/>
  <c r="K178" i="46"/>
  <c r="J129" i="46"/>
  <c r="I129" i="46"/>
  <c r="I41" i="46"/>
  <c r="I139" i="46"/>
  <c r="J139" i="46"/>
  <c r="I91" i="46"/>
  <c r="J91" i="46"/>
  <c r="P157" i="46"/>
  <c r="O157" i="46"/>
  <c r="P32" i="46"/>
  <c r="O32" i="46"/>
  <c r="P134" i="46"/>
  <c r="O134" i="46"/>
  <c r="J107" i="46"/>
  <c r="I107" i="46"/>
  <c r="P66" i="46"/>
  <c r="O66" i="46"/>
  <c r="P158" i="46"/>
  <c r="O158" i="46"/>
  <c r="P65" i="46"/>
  <c r="O65" i="46"/>
  <c r="P131" i="46"/>
  <c r="O131" i="46"/>
  <c r="P161" i="46"/>
  <c r="O161" i="46"/>
  <c r="J133" i="46"/>
  <c r="I133" i="46"/>
  <c r="J92" i="46"/>
  <c r="I92" i="46"/>
  <c r="J73" i="46"/>
  <c r="K74" i="46" s="1"/>
  <c r="O129" i="46"/>
  <c r="J41" i="46"/>
  <c r="K42" i="46" s="1"/>
  <c r="K43" i="46"/>
  <c r="P139" i="46"/>
  <c r="O139" i="46"/>
  <c r="J95" i="46"/>
  <c r="K96" i="46" s="1"/>
  <c r="K95" i="46" s="1"/>
  <c r="P91" i="46"/>
  <c r="O91" i="46"/>
  <c r="P64" i="46"/>
  <c r="O64" i="46"/>
  <c r="P137" i="46"/>
  <c r="O137" i="46"/>
  <c r="P33" i="46"/>
  <c r="O33" i="46"/>
  <c r="P61" i="46"/>
  <c r="O61" i="46"/>
  <c r="O25" i="46"/>
  <c r="P25" i="46"/>
  <c r="P23" i="46" s="1"/>
  <c r="J40" i="46" s="1"/>
  <c r="J23" i="46" s="1"/>
  <c r="P60" i="46"/>
  <c r="O60" i="46"/>
  <c r="P160" i="46"/>
  <c r="O160" i="46"/>
  <c r="P162" i="46"/>
  <c r="O162" i="46"/>
  <c r="P71" i="46"/>
  <c r="O71" i="46"/>
  <c r="P39" i="46"/>
  <c r="O39" i="46"/>
  <c r="K10" i="46"/>
  <c r="K9" i="46" s="1"/>
  <c r="J9" i="46"/>
  <c r="P92" i="46"/>
  <c r="O92" i="46"/>
  <c r="J90" i="46"/>
  <c r="I90" i="46"/>
  <c r="P138" i="46"/>
  <c r="O138" i="46"/>
  <c r="P29" i="46"/>
  <c r="O29" i="46"/>
  <c r="P111" i="46"/>
  <c r="O111" i="46"/>
  <c r="P63" i="46"/>
  <c r="O63" i="46"/>
  <c r="O130" i="46"/>
  <c r="P130" i="46"/>
  <c r="P159" i="46"/>
  <c r="O159" i="46"/>
  <c r="J112" i="46"/>
  <c r="I112" i="46"/>
  <c r="P140" i="46"/>
  <c r="O140" i="46"/>
  <c r="P132" i="46"/>
  <c r="O132" i="46"/>
  <c r="P136" i="46"/>
  <c r="O136" i="46"/>
  <c r="J93" i="46"/>
  <c r="I93" i="46"/>
  <c r="J7" i="46"/>
  <c r="K8" i="46" s="1"/>
  <c r="K7" i="46" s="1"/>
  <c r="P90" i="46"/>
  <c r="P89" i="46" s="1"/>
  <c r="J94" i="46" s="1"/>
  <c r="O90" i="46"/>
  <c r="O496" i="13"/>
  <c r="N107" i="46" s="1"/>
  <c r="O497" i="13"/>
  <c r="N112" i="46" s="1"/>
  <c r="O171" i="10"/>
  <c r="I101" i="84"/>
  <c r="I107" i="84"/>
  <c r="I121" i="84"/>
  <c r="M31" i="5"/>
  <c r="M28" i="5"/>
  <c r="M30" i="5"/>
  <c r="M29" i="5"/>
  <c r="K40" i="46" l="1"/>
  <c r="K29" i="46"/>
  <c r="K37" i="46"/>
  <c r="K27" i="46"/>
  <c r="K30" i="46"/>
  <c r="K26" i="46"/>
  <c r="K34" i="46"/>
  <c r="K39" i="46"/>
  <c r="K36" i="46"/>
  <c r="I128" i="46"/>
  <c r="O89" i="46"/>
  <c r="I94" i="46" s="1"/>
  <c r="P128" i="46"/>
  <c r="J141" i="46" s="1"/>
  <c r="J128" i="46" s="1"/>
  <c r="O128" i="46"/>
  <c r="I141" i="46" s="1"/>
  <c r="O133" i="46"/>
  <c r="O23" i="46"/>
  <c r="I40" i="46" s="1"/>
  <c r="I23" i="46" s="1"/>
  <c r="K41" i="46"/>
  <c r="O58" i="46"/>
  <c r="I72" i="46" s="1"/>
  <c r="I58" i="46" s="1"/>
  <c r="O155" i="46"/>
  <c r="I163" i="46" s="1"/>
  <c r="I155" i="46" s="1"/>
  <c r="P155" i="46"/>
  <c r="J163" i="46" s="1"/>
  <c r="J155" i="46" s="1"/>
  <c r="K159" i="46" s="1"/>
  <c r="I89" i="46"/>
  <c r="P58" i="46"/>
  <c r="J72" i="46" s="1"/>
  <c r="J58" i="46" s="1"/>
  <c r="K64" i="46" s="1"/>
  <c r="K144" i="46"/>
  <c r="K142" i="46" s="1"/>
  <c r="I113" i="46"/>
  <c r="I106" i="46" s="1"/>
  <c r="J113" i="46"/>
  <c r="J89" i="46"/>
  <c r="K94" i="46" s="1"/>
  <c r="K158" i="46"/>
  <c r="K59" i="46"/>
  <c r="K72" i="46"/>
  <c r="K116" i="46"/>
  <c r="K115" i="46" s="1"/>
  <c r="K70" i="46"/>
  <c r="K75" i="46"/>
  <c r="K73" i="46" s="1"/>
  <c r="K35" i="46"/>
  <c r="P112" i="46"/>
  <c r="O112" i="46"/>
  <c r="K93" i="46"/>
  <c r="K66" i="46"/>
  <c r="K31" i="46"/>
  <c r="K68" i="46"/>
  <c r="K161" i="46"/>
  <c r="P107" i="46"/>
  <c r="O107" i="46"/>
  <c r="O106" i="46" s="1"/>
  <c r="I114" i="46" s="1"/>
  <c r="K24" i="46"/>
  <c r="K32" i="46"/>
  <c r="K33" i="46"/>
  <c r="K28" i="46"/>
  <c r="K60" i="46"/>
  <c r="K25" i="46"/>
  <c r="K163" i="46"/>
  <c r="K38" i="46"/>
  <c r="K157" i="46"/>
  <c r="K162" i="46"/>
  <c r="O289" i="10"/>
  <c r="P289" i="10"/>
  <c r="D154" i="9" s="1"/>
  <c r="D160" i="9" s="1"/>
  <c r="N289" i="10"/>
  <c r="N171" i="10"/>
  <c r="D65" i="9" s="1"/>
  <c r="D72" i="9" s="1"/>
  <c r="O103" i="10"/>
  <c r="P103" i="10"/>
  <c r="N103" i="10"/>
  <c r="P171" i="10"/>
  <c r="D67" i="9" s="1"/>
  <c r="D73" i="9" s="1"/>
  <c r="D73" i="84"/>
  <c r="D69" i="84"/>
  <c r="D64" i="84"/>
  <c r="E64" i="84" s="1"/>
  <c r="D60" i="84"/>
  <c r="D55" i="84"/>
  <c r="E55" i="84" s="1"/>
  <c r="J106" i="84"/>
  <c r="K131" i="84"/>
  <c r="J131" i="84" s="1"/>
  <c r="K127" i="84"/>
  <c r="J95" i="84"/>
  <c r="D79" i="84"/>
  <c r="K133" i="46" l="1"/>
  <c r="K139" i="46"/>
  <c r="K141" i="46"/>
  <c r="K92" i="46"/>
  <c r="K91" i="46"/>
  <c r="K160" i="46"/>
  <c r="P106" i="46"/>
  <c r="J114" i="46" s="1"/>
  <c r="J106" i="46" s="1"/>
  <c r="K108" i="46" s="1"/>
  <c r="K63" i="46"/>
  <c r="K69" i="46"/>
  <c r="K23" i="46"/>
  <c r="K156" i="46"/>
  <c r="K155" i="46" s="1"/>
  <c r="K61" i="46"/>
  <c r="K58" i="46" s="1"/>
  <c r="K65" i="46"/>
  <c r="K62" i="46"/>
  <c r="K71" i="46"/>
  <c r="K67" i="46"/>
  <c r="K129" i="46"/>
  <c r="K90" i="46"/>
  <c r="K89" i="46" s="1"/>
  <c r="K113" i="46"/>
  <c r="K111" i="46"/>
  <c r="K134" i="46"/>
  <c r="K138" i="46"/>
  <c r="K130" i="46"/>
  <c r="K140" i="46"/>
  <c r="K132" i="46"/>
  <c r="K137" i="46"/>
  <c r="K135" i="46"/>
  <c r="K131" i="46"/>
  <c r="K136" i="46"/>
  <c r="D152" i="9"/>
  <c r="D159" i="9" s="1"/>
  <c r="O332" i="10"/>
  <c r="D38" i="9"/>
  <c r="D44" i="9" s="1"/>
  <c r="D36" i="9"/>
  <c r="D43" i="9" s="1"/>
  <c r="N332" i="10"/>
  <c r="I126" i="84"/>
  <c r="K107" i="84"/>
  <c r="K126" i="84"/>
  <c r="J127" i="84"/>
  <c r="J126" i="84" s="1"/>
  <c r="J105" i="84" s="1"/>
  <c r="K21" i="84"/>
  <c r="I21" i="84"/>
  <c r="K110" i="46" l="1"/>
  <c r="K107" i="46"/>
  <c r="K112" i="46"/>
  <c r="K114" i="46"/>
  <c r="K109" i="46"/>
  <c r="K128" i="46"/>
  <c r="J21" i="84"/>
  <c r="K106" i="46" l="1"/>
  <c r="M8" i="79"/>
  <c r="K8" i="79"/>
  <c r="I8" i="79"/>
  <c r="N40" i="79"/>
  <c r="M40" i="79"/>
  <c r="K40" i="79"/>
  <c r="I40" i="79"/>
  <c r="N39" i="79"/>
  <c r="N38" i="79"/>
  <c r="N37" i="79"/>
  <c r="N36" i="79"/>
  <c r="N35" i="79"/>
  <c r="N34" i="79"/>
  <c r="M33" i="79"/>
  <c r="K33" i="79"/>
  <c r="I33" i="79"/>
  <c r="N32" i="79"/>
  <c r="N31" i="79"/>
  <c r="N30" i="79"/>
  <c r="N29" i="79"/>
  <c r="N28" i="79"/>
  <c r="N27" i="79"/>
  <c r="M26" i="79"/>
  <c r="K26" i="79"/>
  <c r="I26" i="79"/>
  <c r="N20" i="79"/>
  <c r="M20" i="79"/>
  <c r="K20" i="79"/>
  <c r="I20" i="79"/>
  <c r="N19" i="79"/>
  <c r="N18" i="79"/>
  <c r="N17" i="79"/>
  <c r="N16" i="79"/>
  <c r="N15" i="79"/>
  <c r="M14" i="79"/>
  <c r="K14" i="79"/>
  <c r="I14" i="79"/>
  <c r="N13" i="79"/>
  <c r="N12" i="79"/>
  <c r="N11" i="79"/>
  <c r="N10" i="79"/>
  <c r="N9" i="79"/>
  <c r="I28" i="24"/>
  <c r="H28" i="24"/>
  <c r="G28" i="24"/>
  <c r="I21" i="24"/>
  <c r="H21" i="24"/>
  <c r="G21" i="24"/>
  <c r="I13" i="24"/>
  <c r="H13" i="24"/>
  <c r="G13" i="24"/>
  <c r="I7" i="24"/>
  <c r="G8" i="23" s="1"/>
  <c r="H7" i="24"/>
  <c r="F8" i="23" s="1"/>
  <c r="G7" i="24"/>
  <c r="E8" i="23" s="1"/>
  <c r="K7" i="79" l="1"/>
  <c r="K25" i="79"/>
  <c r="N26" i="79"/>
  <c r="M7" i="79"/>
  <c r="F7" i="23" s="1"/>
  <c r="I7" i="79"/>
  <c r="I25" i="79"/>
  <c r="M25" i="79"/>
  <c r="N14" i="79"/>
  <c r="N33" i="79"/>
  <c r="N8" i="79"/>
  <c r="G11" i="23"/>
  <c r="E11" i="23" s="1"/>
  <c r="F10" i="23"/>
  <c r="G10" i="23"/>
  <c r="E10" i="23"/>
  <c r="F9" i="23"/>
  <c r="E9" i="23"/>
  <c r="E20" i="82"/>
  <c r="E19" i="82"/>
  <c r="E18" i="82"/>
  <c r="E17" i="82"/>
  <c r="N25" i="79" l="1"/>
  <c r="N7" i="79"/>
  <c r="G7" i="23" s="1"/>
  <c r="E7" i="23"/>
  <c r="E6" i="23" s="1"/>
  <c r="G9" i="23"/>
  <c r="F6" i="23"/>
  <c r="G6" i="23" l="1"/>
  <c r="L14" i="83"/>
  <c r="M32" i="5" l="1"/>
  <c r="AA325" i="8" l="1"/>
  <c r="V325" i="8" s="1"/>
  <c r="W325" i="8" s="1"/>
  <c r="Y325" i="8" s="1"/>
  <c r="AA319" i="8"/>
  <c r="V319" i="8" s="1"/>
  <c r="AA266" i="8"/>
  <c r="V266" i="8" s="1"/>
  <c r="X266" i="8" s="1"/>
  <c r="V260" i="8"/>
  <c r="X260" i="8" s="1"/>
  <c r="W260" i="8" l="1"/>
  <c r="Y260" i="8" s="1"/>
  <c r="Z260" i="8" s="1"/>
  <c r="X325" i="8"/>
  <c r="Z325" i="8" s="1"/>
  <c r="W266" i="8"/>
  <c r="Y266" i="8" s="1"/>
  <c r="X319" i="8"/>
  <c r="W319" i="8"/>
  <c r="Y319" i="8" s="1"/>
  <c r="Z319" i="8" l="1"/>
  <c r="Z266" i="8"/>
  <c r="F41" i="7" l="1"/>
  <c r="E41" i="7"/>
  <c r="D41" i="7"/>
  <c r="F42" i="7" s="1"/>
  <c r="L33" i="86" l="1"/>
  <c r="L32" i="86"/>
  <c r="L31" i="86"/>
  <c r="L30" i="86"/>
  <c r="L9" i="86"/>
  <c r="L10" i="86"/>
  <c r="L11" i="86"/>
  <c r="L12" i="86"/>
  <c r="L13" i="86"/>
  <c r="L14" i="86"/>
  <c r="L15" i="86"/>
  <c r="L16" i="86"/>
  <c r="L17" i="86"/>
  <c r="L18" i="86"/>
  <c r="L19" i="86"/>
  <c r="L20" i="86"/>
  <c r="L21" i="86"/>
  <c r="L22" i="86"/>
  <c r="L23" i="86"/>
  <c r="L25" i="86"/>
  <c r="L26" i="86"/>
  <c r="L27" i="86"/>
  <c r="L28" i="86"/>
  <c r="L29" i="86" l="1"/>
  <c r="L24" i="86"/>
  <c r="L35" i="86" l="1"/>
  <c r="I8" i="84" s="1"/>
  <c r="K8" i="84" s="1"/>
  <c r="G7" i="85" s="1"/>
  <c r="A3" i="7"/>
  <c r="C4" i="7" l="1"/>
  <c r="A2" i="7"/>
  <c r="B2" i="86"/>
  <c r="E7" i="85"/>
  <c r="K19" i="84"/>
  <c r="J19" i="84" s="1"/>
  <c r="I26" i="84"/>
  <c r="I20" i="84" s="1"/>
  <c r="K27" i="84"/>
  <c r="K32" i="84"/>
  <c r="J32" i="84" s="1"/>
  <c r="J14" i="83"/>
  <c r="I10" i="84" s="1"/>
  <c r="A2" i="85"/>
  <c r="A3" i="85"/>
  <c r="A33" i="82"/>
  <c r="E17" i="84" l="1"/>
  <c r="K10" i="84"/>
  <c r="K26" i="84"/>
  <c r="K20" i="84" s="1"/>
  <c r="J27" i="84"/>
  <c r="J26" i="84" s="1"/>
  <c r="K14" i="83"/>
  <c r="B3" i="84"/>
  <c r="A2" i="83"/>
  <c r="B2" i="84"/>
  <c r="A3" i="83"/>
  <c r="J20" i="84" l="1"/>
  <c r="F9" i="85" s="1"/>
  <c r="I16" i="84"/>
  <c r="K16" i="84" s="1"/>
  <c r="J10" i="84"/>
  <c r="P152" i="84"/>
  <c r="C6" i="7"/>
  <c r="F7" i="85"/>
  <c r="M27" i="5" l="1"/>
  <c r="J16" i="84"/>
  <c r="J9" i="84" s="1"/>
  <c r="F8" i="85" s="1"/>
  <c r="K9" i="84"/>
  <c r="I9" i="84"/>
  <c r="C5" i="7" l="1"/>
  <c r="P151" i="84"/>
  <c r="E38" i="84" s="1"/>
  <c r="E8" i="85"/>
  <c r="G8" i="85" s="1"/>
  <c r="E50" i="84" l="1"/>
  <c r="E51" i="84"/>
  <c r="E45" i="84"/>
  <c r="I44" i="84" s="1"/>
  <c r="K44" i="84" s="1"/>
  <c r="E117" i="84"/>
  <c r="E112" i="84"/>
  <c r="E97" i="84"/>
  <c r="E91" i="84"/>
  <c r="E86" i="84"/>
  <c r="E74" i="84"/>
  <c r="E80" i="84"/>
  <c r="M26" i="5"/>
  <c r="E5" i="8" s="1"/>
  <c r="AA559" i="8" s="1"/>
  <c r="E70" i="84"/>
  <c r="E65" i="84"/>
  <c r="E61" i="84"/>
  <c r="E56" i="84"/>
  <c r="D12" i="78"/>
  <c r="D12" i="40"/>
  <c r="I49" i="84" l="1"/>
  <c r="K49" i="84" s="1"/>
  <c r="I79" i="84"/>
  <c r="K79" i="84" s="1"/>
  <c r="J79" i="84" s="1"/>
  <c r="I60" i="84"/>
  <c r="K60" i="84" s="1"/>
  <c r="J60" i="84" s="1"/>
  <c r="I85" i="84"/>
  <c r="K85" i="84" s="1"/>
  <c r="J85" i="84" s="1"/>
  <c r="I111" i="84"/>
  <c r="K111" i="84" s="1"/>
  <c r="I116" i="84"/>
  <c r="K116" i="84" s="1"/>
  <c r="I90" i="84"/>
  <c r="K90" i="84" s="1"/>
  <c r="J90" i="84" s="1"/>
  <c r="I64" i="84"/>
  <c r="K64" i="84" s="1"/>
  <c r="J64" i="84" s="1"/>
  <c r="I73" i="84"/>
  <c r="K73" i="84" s="1"/>
  <c r="J73" i="84" s="1"/>
  <c r="I55" i="84"/>
  <c r="K55" i="84" s="1"/>
  <c r="J55" i="84" s="1"/>
  <c r="I96" i="84"/>
  <c r="K96" i="84" s="1"/>
  <c r="J96" i="84" s="1"/>
  <c r="I69" i="84"/>
  <c r="K69" i="84" s="1"/>
  <c r="J69" i="84" s="1"/>
  <c r="AA178" i="8"/>
  <c r="AA338" i="8"/>
  <c r="AA126" i="8"/>
  <c r="AA60" i="8"/>
  <c r="AA588" i="8"/>
  <c r="AA579" i="8"/>
  <c r="AA147" i="8"/>
  <c r="AA70" i="8"/>
  <c r="AA347" i="8"/>
  <c r="AA188" i="8"/>
  <c r="AA136" i="8"/>
  <c r="AA568" i="8"/>
  <c r="AA286" i="8"/>
  <c r="AA97" i="8"/>
  <c r="AA87" i="8"/>
  <c r="AA157" i="8"/>
  <c r="G79" i="78"/>
  <c r="D45" i="78"/>
  <c r="D16" i="40"/>
  <c r="D16" i="78"/>
  <c r="D23" i="78"/>
  <c r="D19" i="78"/>
  <c r="D17" i="78"/>
  <c r="D15" i="78"/>
  <c r="D14" i="78"/>
  <c r="C11" i="78"/>
  <c r="C10" i="78"/>
  <c r="C9" i="78"/>
  <c r="Z4" i="78"/>
  <c r="Z3" i="78"/>
  <c r="Z2" i="78"/>
  <c r="C4" i="78" l="1"/>
  <c r="C72" i="78"/>
  <c r="C7" i="78"/>
  <c r="D25" i="40" l="1"/>
  <c r="D17" i="40"/>
  <c r="D14" i="40"/>
  <c r="B5" i="77"/>
  <c r="U325" i="8" l="1"/>
  <c r="U319" i="8"/>
  <c r="P319" i="8" l="1"/>
  <c r="R319" i="8" s="1"/>
  <c r="P325" i="8"/>
  <c r="R325" i="8" s="1"/>
  <c r="F186" i="7"/>
  <c r="Q325" i="8" l="1"/>
  <c r="S325" i="8" s="1"/>
  <c r="Q319" i="8"/>
  <c r="S319" i="8" s="1"/>
  <c r="D9" i="76" l="1"/>
  <c r="C9" i="76"/>
  <c r="E9" i="76"/>
  <c r="H40" i="5" l="1"/>
  <c r="O43" i="5"/>
  <c r="N43" i="5"/>
  <c r="F108" i="9" s="1"/>
  <c r="O41" i="5"/>
  <c r="N41" i="5"/>
  <c r="F110" i="9" s="1"/>
  <c r="J447" i="13" l="1"/>
  <c r="J468" i="13"/>
  <c r="J466" i="13"/>
  <c r="J445" i="13"/>
  <c r="J425" i="13"/>
  <c r="J423" i="13"/>
  <c r="C110" i="9"/>
  <c r="C108" i="9"/>
  <c r="F197" i="9"/>
  <c r="F226" i="9"/>
  <c r="J1117" i="13" s="1"/>
  <c r="F195" i="9"/>
  <c r="F224" i="9"/>
  <c r="F139" i="9"/>
  <c r="J527" i="13" s="1"/>
  <c r="F168" i="9"/>
  <c r="F137" i="9"/>
  <c r="F166" i="9"/>
  <c r="F52" i="9"/>
  <c r="J234" i="13" s="1"/>
  <c r="F81" i="9"/>
  <c r="F50" i="9"/>
  <c r="F79" i="9"/>
  <c r="N67" i="5"/>
  <c r="G10" i="42" s="1"/>
  <c r="H10" i="42" s="1"/>
  <c r="T10" i="17" s="1"/>
  <c r="J589" i="13" l="1"/>
  <c r="J612" i="13"/>
  <c r="J591" i="13"/>
  <c r="J610" i="13"/>
  <c r="J570" i="13"/>
  <c r="J633" i="13"/>
  <c r="J631" i="13"/>
  <c r="J568" i="13"/>
  <c r="J547" i="13"/>
  <c r="J716" i="13"/>
  <c r="J549" i="13"/>
  <c r="J318" i="13"/>
  <c r="J402" i="13"/>
  <c r="J400" i="13"/>
  <c r="J316" i="13"/>
  <c r="J232" i="13"/>
  <c r="J211" i="13"/>
  <c r="J209" i="13"/>
  <c r="J1115" i="13"/>
  <c r="J1081" i="13"/>
  <c r="J1098" i="13"/>
  <c r="J1096" i="13"/>
  <c r="M1096" i="13"/>
  <c r="J1079" i="13"/>
  <c r="M1079" i="13"/>
  <c r="J1062" i="13"/>
  <c r="M1062" i="13"/>
  <c r="J1047" i="13"/>
  <c r="J1064" i="13"/>
  <c r="J1045" i="13"/>
  <c r="M1045" i="13"/>
  <c r="J1028" i="13"/>
  <c r="M1028" i="13"/>
  <c r="J1013" i="13"/>
  <c r="J1030" i="13"/>
  <c r="J1011" i="13"/>
  <c r="M1011" i="13"/>
  <c r="J994" i="13"/>
  <c r="M994" i="13"/>
  <c r="J979" i="13"/>
  <c r="J996" i="13"/>
  <c r="J977" i="13"/>
  <c r="M977" i="13"/>
  <c r="J945" i="13"/>
  <c r="J962" i="13"/>
  <c r="J960" i="13"/>
  <c r="M960" i="13"/>
  <c r="J943" i="13"/>
  <c r="M943" i="13"/>
  <c r="J909" i="13"/>
  <c r="J927" i="13"/>
  <c r="J925" i="13"/>
  <c r="M925" i="13"/>
  <c r="J907" i="13"/>
  <c r="M907" i="13"/>
  <c r="J890" i="13"/>
  <c r="M890" i="13"/>
  <c r="J875" i="13"/>
  <c r="J892" i="13"/>
  <c r="J873" i="13"/>
  <c r="M873" i="13"/>
  <c r="J856" i="13"/>
  <c r="M856" i="13"/>
  <c r="J841" i="13"/>
  <c r="J858" i="13"/>
  <c r="J839" i="13"/>
  <c r="J801" i="13"/>
  <c r="J821" i="13"/>
  <c r="J819" i="13"/>
  <c r="M819" i="13"/>
  <c r="J799" i="13"/>
  <c r="J762" i="13"/>
  <c r="J777" i="13"/>
  <c r="J775" i="13"/>
  <c r="J760" i="13"/>
  <c r="J732" i="13"/>
  <c r="J747" i="13"/>
  <c r="J745" i="13"/>
  <c r="J730" i="13"/>
  <c r="J714" i="13"/>
  <c r="J669" i="13"/>
  <c r="J693" i="13"/>
  <c r="J691" i="13"/>
  <c r="J667" i="13"/>
  <c r="M667" i="13"/>
  <c r="J651" i="13"/>
  <c r="J649" i="13"/>
  <c r="M649" i="13"/>
  <c r="J525" i="13"/>
  <c r="M525" i="13"/>
  <c r="J488" i="13"/>
  <c r="J510" i="13"/>
  <c r="J508" i="13"/>
  <c r="J486" i="13"/>
  <c r="M486" i="13"/>
  <c r="J378" i="13"/>
  <c r="J376" i="13"/>
  <c r="J338" i="13"/>
  <c r="J357" i="13"/>
  <c r="J355" i="13"/>
  <c r="J336" i="13"/>
  <c r="M336" i="13"/>
  <c r="J295" i="13"/>
  <c r="J293" i="13"/>
  <c r="J255" i="13"/>
  <c r="J274" i="13"/>
  <c r="J272" i="13"/>
  <c r="J253" i="13"/>
  <c r="M253" i="13"/>
  <c r="J188" i="13"/>
  <c r="J186" i="13"/>
  <c r="J148" i="13"/>
  <c r="J167" i="13"/>
  <c r="J165" i="13"/>
  <c r="J146" i="13"/>
  <c r="M146" i="13"/>
  <c r="J106" i="13"/>
  <c r="J128" i="13"/>
  <c r="J126" i="13"/>
  <c r="J104" i="13"/>
  <c r="C226" i="9"/>
  <c r="C197" i="9"/>
  <c r="C168" i="9"/>
  <c r="C139" i="9"/>
  <c r="C81" i="9"/>
  <c r="C52" i="9"/>
  <c r="C195" i="9"/>
  <c r="C224" i="9"/>
  <c r="C137" i="9"/>
  <c r="C166" i="9"/>
  <c r="C50" i="9"/>
  <c r="C79" i="9"/>
  <c r="F12" i="23"/>
  <c r="G12" i="23" s="1"/>
  <c r="F13" i="23"/>
  <c r="D250" i="9" l="1"/>
  <c r="D4" i="8" l="1"/>
  <c r="E4" i="8" l="1"/>
  <c r="U240" i="8"/>
  <c r="AA250" i="8"/>
  <c r="U250" i="8"/>
  <c r="AA240" i="8"/>
  <c r="D7" i="8"/>
  <c r="E7" i="8" s="1"/>
  <c r="F198" i="7" l="1"/>
  <c r="E198" i="7"/>
  <c r="D198" i="7"/>
  <c r="F149" i="7"/>
  <c r="E149" i="7"/>
  <c r="D149" i="7"/>
  <c r="F150" i="7" l="1"/>
  <c r="F199" i="7"/>
  <c r="AL2" i="67" l="1"/>
  <c r="N70" i="40" l="1"/>
  <c r="N71" i="40"/>
  <c r="N74" i="40"/>
  <c r="N75" i="40"/>
  <c r="D19" i="40"/>
  <c r="D15" i="40"/>
  <c r="C11" i="40"/>
  <c r="C10" i="40"/>
  <c r="C9" i="40"/>
  <c r="Z4" i="40"/>
  <c r="Z3" i="40"/>
  <c r="Z2" i="40"/>
  <c r="G76" i="40"/>
  <c r="S2" i="40"/>
  <c r="D54" i="40" l="1"/>
  <c r="C4" i="40"/>
  <c r="D67" i="40"/>
  <c r="D47" i="40"/>
  <c r="D43" i="40"/>
  <c r="C7" i="40"/>
  <c r="C86" i="40"/>
  <c r="BA2" i="67"/>
  <c r="BA1" i="67"/>
  <c r="AZ1" i="67"/>
  <c r="AY2" i="67"/>
  <c r="AY1" i="67"/>
  <c r="AX1" i="67"/>
  <c r="AW2" i="67"/>
  <c r="AW1" i="67"/>
  <c r="AV1" i="67"/>
  <c r="AU2" i="67"/>
  <c r="AU1" i="67"/>
  <c r="AT2" i="67"/>
  <c r="AT1" i="67"/>
  <c r="AS1" i="67"/>
  <c r="AR1" i="67"/>
  <c r="AQ1" i="67"/>
  <c r="AP2" i="67"/>
  <c r="AP1" i="67"/>
  <c r="AO2" i="67"/>
  <c r="AO1" i="67"/>
  <c r="F25" i="26" l="1"/>
  <c r="F10" i="75"/>
  <c r="G10" i="75" s="1"/>
  <c r="F9" i="75"/>
  <c r="G9" i="75" s="1"/>
  <c r="H9" i="75" s="1"/>
  <c r="F8" i="75"/>
  <c r="G8" i="75" s="1"/>
  <c r="F7" i="75"/>
  <c r="F6" i="75"/>
  <c r="F10" i="74"/>
  <c r="F9" i="74"/>
  <c r="F8" i="74"/>
  <c r="F7" i="74"/>
  <c r="G7" i="74" s="1"/>
  <c r="F6" i="74"/>
  <c r="G6" i="74" s="1"/>
  <c r="AX2" i="67" l="1"/>
  <c r="C54" i="26"/>
  <c r="G10" i="74"/>
  <c r="H10" i="74" s="1"/>
  <c r="F11" i="74"/>
  <c r="E14" i="23" s="1"/>
  <c r="G9" i="74"/>
  <c r="H9" i="74" s="1"/>
  <c r="G8" i="74"/>
  <c r="H8" i="74" s="1"/>
  <c r="H6" i="74"/>
  <c r="H7" i="74"/>
  <c r="F11" i="75"/>
  <c r="E22" i="23" s="1"/>
  <c r="G7" i="75"/>
  <c r="H7" i="75" s="1"/>
  <c r="H10" i="75"/>
  <c r="G6" i="75"/>
  <c r="H6" i="75" s="1"/>
  <c r="H8" i="75"/>
  <c r="G11" i="74" l="1"/>
  <c r="F14" i="23" s="1"/>
  <c r="F11" i="44"/>
  <c r="F12" i="74"/>
  <c r="H11" i="74"/>
  <c r="G14" i="23" s="1"/>
  <c r="F12" i="75"/>
  <c r="F14" i="44"/>
  <c r="H11" i="75"/>
  <c r="G22" i="23" s="1"/>
  <c r="G11" i="75"/>
  <c r="F22" i="23" s="1"/>
  <c r="H11" i="44" l="1"/>
  <c r="H12" i="74"/>
  <c r="G12" i="75"/>
  <c r="G14" i="44"/>
  <c r="H12" i="75"/>
  <c r="H14" i="44"/>
  <c r="G11" i="44"/>
  <c r="G12" i="74"/>
  <c r="G7" i="71"/>
  <c r="G8" i="71"/>
  <c r="G9" i="71"/>
  <c r="G10" i="71"/>
  <c r="G6" i="71"/>
  <c r="G11" i="71" l="1"/>
  <c r="I11" i="71" s="1"/>
  <c r="G12" i="71" l="1"/>
  <c r="H12" i="71"/>
  <c r="I12" i="71"/>
  <c r="AG2" i="67" l="1"/>
  <c r="AG1" i="67"/>
  <c r="AK1" i="67" l="1"/>
  <c r="AJ2" i="67"/>
  <c r="AJ1" i="67"/>
  <c r="AI1" i="67"/>
  <c r="AH2" i="67"/>
  <c r="AH1" i="67"/>
  <c r="AF1" i="67"/>
  <c r="AE1" i="67"/>
  <c r="AD1" i="67"/>
  <c r="AC2" i="67"/>
  <c r="AC1" i="67"/>
  <c r="AB2" i="67"/>
  <c r="AB1" i="67"/>
  <c r="N74" i="5" l="1"/>
  <c r="AM3" i="34"/>
  <c r="AM4" i="34" s="1"/>
  <c r="AL3" i="17"/>
  <c r="G17" i="62"/>
  <c r="G15" i="62"/>
  <c r="G14" i="62"/>
  <c r="G13" i="62"/>
  <c r="G11" i="62"/>
  <c r="G10" i="62"/>
  <c r="G9" i="62"/>
  <c r="G8" i="62"/>
  <c r="G7" i="62"/>
  <c r="E14" i="2"/>
  <c r="E45" i="2" s="1"/>
  <c r="E13" i="2"/>
  <c r="E44" i="2" s="1"/>
  <c r="D42" i="2"/>
  <c r="C2" i="65"/>
  <c r="I20" i="48"/>
  <c r="I20" i="2"/>
  <c r="I20" i="58"/>
  <c r="N16" i="5"/>
  <c r="D9" i="59"/>
  <c r="D12" i="8"/>
  <c r="E12" i="8" s="1"/>
  <c r="D9" i="8"/>
  <c r="E9" i="8" s="1"/>
  <c r="D10" i="8"/>
  <c r="D11" i="8"/>
  <c r="E11" i="8" s="1"/>
  <c r="O19" i="5"/>
  <c r="U266" i="8"/>
  <c r="D14" i="8"/>
  <c r="D13" i="8"/>
  <c r="R30" i="27"/>
  <c r="Q30" i="27"/>
  <c r="D11" i="26" s="1"/>
  <c r="P30" i="27"/>
  <c r="D9" i="26" s="1"/>
  <c r="J17" i="44"/>
  <c r="J19" i="44"/>
  <c r="J11" i="43"/>
  <c r="J13" i="43"/>
  <c r="L9" i="51"/>
  <c r="L10" i="51"/>
  <c r="L8" i="51"/>
  <c r="R2" i="67"/>
  <c r="E45" i="48"/>
  <c r="E44" i="48"/>
  <c r="E43" i="48"/>
  <c r="E42" i="48"/>
  <c r="E14" i="48"/>
  <c r="E13" i="48"/>
  <c r="E12" i="48"/>
  <c r="E42" i="58"/>
  <c r="E43" i="58"/>
  <c r="E45" i="58"/>
  <c r="E14" i="58" s="1"/>
  <c r="E44" i="58"/>
  <c r="E13" i="58" s="1"/>
  <c r="E12" i="58"/>
  <c r="E12" i="2"/>
  <c r="E43" i="2" s="1"/>
  <c r="E11" i="2"/>
  <c r="A2" i="6" s="1"/>
  <c r="C37" i="67"/>
  <c r="C38" i="67"/>
  <c r="C36" i="67"/>
  <c r="AN3" i="34"/>
  <c r="AN4" i="34" s="1"/>
  <c r="AN3" i="17"/>
  <c r="J9" i="68"/>
  <c r="K11" i="68"/>
  <c r="J11" i="68"/>
  <c r="K10" i="68"/>
  <c r="K9" i="68"/>
  <c r="K8" i="68"/>
  <c r="J8" i="68"/>
  <c r="I8" i="68"/>
  <c r="H8" i="68" s="1"/>
  <c r="L3" i="67"/>
  <c r="F25" i="9"/>
  <c r="B1" i="60"/>
  <c r="D11" i="59"/>
  <c r="D10" i="59"/>
  <c r="F137" i="7"/>
  <c r="J8" i="61"/>
  <c r="J6" i="61"/>
  <c r="G7" i="61"/>
  <c r="G8" i="61"/>
  <c r="G6" i="61"/>
  <c r="P11" i="61"/>
  <c r="G22" i="62"/>
  <c r="G21" i="62"/>
  <c r="G20" i="62"/>
  <c r="G18" i="62"/>
  <c r="F16" i="26"/>
  <c r="C16" i="26" s="1"/>
  <c r="F15" i="26"/>
  <c r="C15" i="26" s="1"/>
  <c r="F16" i="9"/>
  <c r="C16" i="9" s="1"/>
  <c r="F15" i="9"/>
  <c r="C15" i="9" s="1"/>
  <c r="C25" i="26"/>
  <c r="F14" i="26"/>
  <c r="C14" i="26" s="1"/>
  <c r="J9" i="51"/>
  <c r="J10" i="51" s="1"/>
  <c r="M10" i="51" s="1"/>
  <c r="M8" i="51"/>
  <c r="O30" i="27"/>
  <c r="N30" i="27"/>
  <c r="AE2" i="51"/>
  <c r="R2" i="51"/>
  <c r="F14" i="9"/>
  <c r="F18" i="25"/>
  <c r="H18" i="25" s="1"/>
  <c r="F17" i="25"/>
  <c r="G17" i="25" s="1"/>
  <c r="H17" i="25" s="1"/>
  <c r="F16" i="25"/>
  <c r="F9" i="25"/>
  <c r="F10" i="25"/>
  <c r="G10" i="25" s="1"/>
  <c r="H10" i="25" s="1"/>
  <c r="F11" i="25"/>
  <c r="G11" i="25" s="1"/>
  <c r="F12" i="25"/>
  <c r="H12" i="25" s="1"/>
  <c r="F13" i="25"/>
  <c r="H13" i="25" s="1"/>
  <c r="F14" i="25"/>
  <c r="H14" i="25" s="1"/>
  <c r="F8" i="25"/>
  <c r="G15" i="25"/>
  <c r="H15" i="25" s="1"/>
  <c r="F97" i="7"/>
  <c r="E97" i="7"/>
  <c r="D97" i="7"/>
  <c r="J10" i="68"/>
  <c r="U10" i="65"/>
  <c r="W10" i="65" s="1"/>
  <c r="Y10" i="65" s="1"/>
  <c r="H10" i="60"/>
  <c r="E6" i="59" s="1"/>
  <c r="G10" i="56"/>
  <c r="H10" i="56"/>
  <c r="I10" i="56"/>
  <c r="J726" i="13" l="1"/>
  <c r="M726" i="13" s="1"/>
  <c r="L291" i="10" s="1"/>
  <c r="Q291" i="10" s="1"/>
  <c r="J771" i="13"/>
  <c r="M771" i="13" s="1"/>
  <c r="L298" i="10" s="1"/>
  <c r="Q298" i="10" s="1"/>
  <c r="J756" i="13"/>
  <c r="M756" i="13" s="1"/>
  <c r="L296" i="10" s="1"/>
  <c r="Q296" i="10" s="1"/>
  <c r="J741" i="13"/>
  <c r="M741" i="13" s="1"/>
  <c r="L294" i="10" s="1"/>
  <c r="Q294" i="10" s="1"/>
  <c r="J740" i="13"/>
  <c r="M740" i="13" s="1"/>
  <c r="J725" i="13"/>
  <c r="M725" i="13" s="1"/>
  <c r="J770" i="13"/>
  <c r="M770" i="13" s="1"/>
  <c r="J755" i="13"/>
  <c r="M755" i="13" s="1"/>
  <c r="C257" i="9"/>
  <c r="J36" i="13"/>
  <c r="J52" i="13"/>
  <c r="J85" i="13"/>
  <c r="J20" i="13"/>
  <c r="J66" i="13"/>
  <c r="J754" i="13"/>
  <c r="J739" i="13"/>
  <c r="J724" i="13"/>
  <c r="J769" i="13"/>
  <c r="AN4" i="17"/>
  <c r="S24" i="17"/>
  <c r="V24" i="17" s="1"/>
  <c r="G50" i="46" s="1"/>
  <c r="S76" i="17"/>
  <c r="V76" i="17" s="1"/>
  <c r="G168" i="46" s="1"/>
  <c r="S35" i="17"/>
  <c r="V35" i="17" s="1"/>
  <c r="G79" i="46" s="1"/>
  <c r="S37" i="17"/>
  <c r="V37" i="17" s="1"/>
  <c r="G81" i="46" s="1"/>
  <c r="S19" i="17"/>
  <c r="V19" i="17" s="1"/>
  <c r="G45" i="46" s="1"/>
  <c r="S46" i="17"/>
  <c r="V46" i="17" s="1"/>
  <c r="G98" i="46" s="1"/>
  <c r="S22" i="17"/>
  <c r="V22" i="17" s="1"/>
  <c r="G48" i="46" s="1"/>
  <c r="S20" i="17"/>
  <c r="V20" i="17" s="1"/>
  <c r="G46" i="46" s="1"/>
  <c r="S33" i="17"/>
  <c r="V33" i="17" s="1"/>
  <c r="G77" i="46" s="1"/>
  <c r="S36" i="17"/>
  <c r="V36" i="17" s="1"/>
  <c r="G80" i="46" s="1"/>
  <c r="S66" i="17"/>
  <c r="V66" i="17" s="1"/>
  <c r="G147" i="46" s="1"/>
  <c r="S77" i="17"/>
  <c r="V77" i="17" s="1"/>
  <c r="G169" i="46" s="1"/>
  <c r="S23" i="17"/>
  <c r="V23" i="17" s="1"/>
  <c r="G49" i="46" s="1"/>
  <c r="S75" i="17"/>
  <c r="V75" i="17" s="1"/>
  <c r="G167" i="46" s="1"/>
  <c r="S56" i="17"/>
  <c r="V56" i="17" s="1"/>
  <c r="G120" i="46" s="1"/>
  <c r="S34" i="17"/>
  <c r="V34" i="17" s="1"/>
  <c r="G78" i="46" s="1"/>
  <c r="S21" i="17"/>
  <c r="V21" i="17" s="1"/>
  <c r="G47" i="46" s="1"/>
  <c r="S86" i="17"/>
  <c r="V86" i="17" s="1"/>
  <c r="G198" i="46" s="1"/>
  <c r="S65" i="17"/>
  <c r="V65" i="17" s="1"/>
  <c r="G146" i="46" s="1"/>
  <c r="AL4" i="17"/>
  <c r="S8" i="17"/>
  <c r="V8" i="17" s="1"/>
  <c r="G12" i="46" s="1"/>
  <c r="P266" i="8"/>
  <c r="R266" i="8" s="1"/>
  <c r="A3" i="77"/>
  <c r="A3" i="80"/>
  <c r="U260" i="8"/>
  <c r="E13" i="8"/>
  <c r="AA260" i="8" s="1"/>
  <c r="P260" i="8"/>
  <c r="R260" i="8" s="1"/>
  <c r="A39" i="26"/>
  <c r="A3" i="81"/>
  <c r="A3" i="79"/>
  <c r="U306" i="8"/>
  <c r="E14" i="8"/>
  <c r="AA306" i="8" s="1"/>
  <c r="E10" i="8"/>
  <c r="A242" i="9"/>
  <c r="A3" i="6"/>
  <c r="G11" i="56"/>
  <c r="I11" i="56"/>
  <c r="H24" i="6"/>
  <c r="C67" i="7" s="1"/>
  <c r="H11" i="56"/>
  <c r="G24" i="6"/>
  <c r="B2" i="44"/>
  <c r="B2" i="43"/>
  <c r="C2" i="23"/>
  <c r="C3" i="23"/>
  <c r="C3" i="3"/>
  <c r="A119" i="7"/>
  <c r="A167" i="7"/>
  <c r="F98" i="7"/>
  <c r="F21" i="26"/>
  <c r="F23" i="26"/>
  <c r="C52" i="26" s="1"/>
  <c r="C14" i="9"/>
  <c r="A3" i="75"/>
  <c r="A3" i="74"/>
  <c r="B3" i="30"/>
  <c r="A3" i="71"/>
  <c r="F21" i="9"/>
  <c r="C25" i="9"/>
  <c r="AK2" i="67"/>
  <c r="H7" i="61"/>
  <c r="K7" i="61" s="1"/>
  <c r="D7" i="26"/>
  <c r="D14" i="26" s="1"/>
  <c r="D43" i="26" s="1"/>
  <c r="B3" i="59"/>
  <c r="B3" i="57"/>
  <c r="A63" i="7"/>
  <c r="B3" i="56"/>
  <c r="E42" i="2"/>
  <c r="C2" i="3" s="1"/>
  <c r="A3" i="33"/>
  <c r="A3" i="15"/>
  <c r="D14" i="9"/>
  <c r="D246" i="9" s="1"/>
  <c r="H6" i="61"/>
  <c r="K6" i="61" s="1"/>
  <c r="D15" i="9"/>
  <c r="H8" i="61"/>
  <c r="K8" i="61" s="1"/>
  <c r="AM3" i="17"/>
  <c r="AL3" i="34"/>
  <c r="AL4" i="34" s="1"/>
  <c r="E23" i="6"/>
  <c r="D15" i="26"/>
  <c r="D44" i="26" s="1"/>
  <c r="P27" i="5" s="1"/>
  <c r="W44" i="5" s="1"/>
  <c r="A3" i="34"/>
  <c r="N8" i="51"/>
  <c r="O8" i="51" s="1"/>
  <c r="O12" i="51" s="1"/>
  <c r="B3" i="51"/>
  <c r="M9" i="51"/>
  <c r="N9" i="51" s="1"/>
  <c r="O9" i="51" s="1"/>
  <c r="G24" i="62"/>
  <c r="E8" i="59" s="1"/>
  <c r="H11" i="25"/>
  <c r="N10" i="51"/>
  <c r="O10" i="51" s="1"/>
  <c r="O14" i="51" s="1"/>
  <c r="D16" i="26"/>
  <c r="D45" i="26" s="1"/>
  <c r="F23" i="9"/>
  <c r="J83" i="13" s="1"/>
  <c r="G7" i="59"/>
  <c r="D7" i="59" s="1"/>
  <c r="A3" i="29"/>
  <c r="A3" i="19"/>
  <c r="F7" i="25"/>
  <c r="F6" i="25" s="1"/>
  <c r="F20" i="25" s="1"/>
  <c r="E11" i="58"/>
  <c r="A3" i="32"/>
  <c r="G9" i="25"/>
  <c r="H9" i="25" s="1"/>
  <c r="B3" i="13"/>
  <c r="B3" i="10"/>
  <c r="A3" i="24"/>
  <c r="G8" i="25"/>
  <c r="A3" i="36"/>
  <c r="G16" i="25"/>
  <c r="H16" i="25" s="1"/>
  <c r="A3" i="31"/>
  <c r="A3" i="26"/>
  <c r="A3" i="25"/>
  <c r="E11" i="48"/>
  <c r="B3" i="27"/>
  <c r="K296" i="10" l="1"/>
  <c r="P296" i="10" s="1"/>
  <c r="M757" i="13"/>
  <c r="K298" i="10"/>
  <c r="P298" i="10" s="1"/>
  <c r="M772" i="13"/>
  <c r="K291" i="10"/>
  <c r="P291" i="10" s="1"/>
  <c r="P310" i="10" s="1"/>
  <c r="M727" i="13"/>
  <c r="K294" i="10"/>
  <c r="P294" i="10" s="1"/>
  <c r="M742" i="13"/>
  <c r="K585" i="13"/>
  <c r="M585" i="13" s="1"/>
  <c r="M584" i="13" s="1"/>
  <c r="J147" i="46"/>
  <c r="K564" i="13"/>
  <c r="M564" i="13" s="1"/>
  <c r="M563" i="13" s="1"/>
  <c r="P147" i="46"/>
  <c r="K627" i="13"/>
  <c r="M627" i="13" s="1"/>
  <c r="M626" i="13" s="1"/>
  <c r="H147" i="46"/>
  <c r="K543" i="13"/>
  <c r="M543" i="13" s="1"/>
  <c r="M542" i="13" s="1"/>
  <c r="K606" i="13"/>
  <c r="M606" i="13" s="1"/>
  <c r="M605" i="13" s="1"/>
  <c r="H80" i="46"/>
  <c r="K394" i="13"/>
  <c r="M394" i="13" s="1"/>
  <c r="K311" i="13"/>
  <c r="M311" i="13" s="1"/>
  <c r="J80" i="46"/>
  <c r="P80" i="46"/>
  <c r="P77" i="46"/>
  <c r="H77" i="46"/>
  <c r="K289" i="13"/>
  <c r="M289" i="13" s="1"/>
  <c r="J77" i="46"/>
  <c r="K372" i="13"/>
  <c r="M372" i="13" s="1"/>
  <c r="K268" i="13"/>
  <c r="M268" i="13" s="1"/>
  <c r="M267" i="13" s="1"/>
  <c r="K351" i="13"/>
  <c r="M351" i="13" s="1"/>
  <c r="M350" i="13" s="1"/>
  <c r="H46" i="46"/>
  <c r="J46" i="46"/>
  <c r="P46" i="46"/>
  <c r="K228" i="13"/>
  <c r="M228" i="13" s="1"/>
  <c r="J146" i="46"/>
  <c r="K687" i="13"/>
  <c r="M687" i="13" s="1"/>
  <c r="M686" i="13" s="1"/>
  <c r="K710" i="13"/>
  <c r="M710" i="13" s="1"/>
  <c r="M709" i="13" s="1"/>
  <c r="H146" i="46"/>
  <c r="P146" i="46"/>
  <c r="K181" i="13"/>
  <c r="M181" i="13" s="1"/>
  <c r="H48" i="46"/>
  <c r="P48" i="46"/>
  <c r="J48" i="46"/>
  <c r="K1111" i="13"/>
  <c r="M1111" i="13" s="1"/>
  <c r="M1110" i="13" s="1"/>
  <c r="H198" i="46"/>
  <c r="P198" i="46"/>
  <c r="P197" i="46" s="1"/>
  <c r="K835" i="13"/>
  <c r="M835" i="13" s="1"/>
  <c r="M834" i="13" s="1"/>
  <c r="J198" i="46"/>
  <c r="H98" i="46"/>
  <c r="P98" i="46"/>
  <c r="P97" i="46" s="1"/>
  <c r="J98" i="46"/>
  <c r="K462" i="13"/>
  <c r="M462" i="13" s="1"/>
  <c r="M461" i="13" s="1"/>
  <c r="K419" i="13"/>
  <c r="M419" i="13" s="1"/>
  <c r="M418" i="13" s="1"/>
  <c r="K441" i="13"/>
  <c r="M441" i="13" s="1"/>
  <c r="M440" i="13" s="1"/>
  <c r="J47" i="46"/>
  <c r="K205" i="13"/>
  <c r="M205" i="13" s="1"/>
  <c r="P47" i="46"/>
  <c r="H47" i="46"/>
  <c r="H45" i="46"/>
  <c r="J45" i="46"/>
  <c r="P45" i="46"/>
  <c r="K182" i="13"/>
  <c r="M182" i="13" s="1"/>
  <c r="K161" i="13"/>
  <c r="M161" i="13" s="1"/>
  <c r="M160" i="13" s="1"/>
  <c r="P78" i="46"/>
  <c r="H78" i="46"/>
  <c r="K312" i="13"/>
  <c r="M312" i="13" s="1"/>
  <c r="J78" i="46"/>
  <c r="K395" i="13"/>
  <c r="M395" i="13" s="1"/>
  <c r="K396" i="13"/>
  <c r="M396" i="13" s="1"/>
  <c r="H81" i="46"/>
  <c r="P81" i="46"/>
  <c r="J81" i="46"/>
  <c r="P12" i="46"/>
  <c r="H12" i="46"/>
  <c r="J12" i="46"/>
  <c r="K28" i="13"/>
  <c r="M28" i="13" s="1"/>
  <c r="M27" i="13" s="1"/>
  <c r="K76" i="13"/>
  <c r="M76" i="13" s="1"/>
  <c r="M77" i="13" s="1"/>
  <c r="M75" i="13" s="1"/>
  <c r="K44" i="13"/>
  <c r="M44" i="13" s="1"/>
  <c r="M43" i="13" s="1"/>
  <c r="K504" i="13"/>
  <c r="M504" i="13" s="1"/>
  <c r="P120" i="46"/>
  <c r="H120" i="46"/>
  <c r="J120" i="46"/>
  <c r="H79" i="46"/>
  <c r="P79" i="46"/>
  <c r="J79" i="46"/>
  <c r="K288" i="13"/>
  <c r="M288" i="13" s="1"/>
  <c r="M287" i="13" s="1"/>
  <c r="K371" i="13"/>
  <c r="M371" i="13" s="1"/>
  <c r="M370" i="13" s="1"/>
  <c r="K794" i="13"/>
  <c r="M794" i="13" s="1"/>
  <c r="H167" i="46"/>
  <c r="J167" i="46"/>
  <c r="P167" i="46"/>
  <c r="K792" i="13"/>
  <c r="M792" i="13" s="1"/>
  <c r="H168" i="46"/>
  <c r="J168" i="46"/>
  <c r="P168" i="46"/>
  <c r="K122" i="13"/>
  <c r="M122" i="13" s="1"/>
  <c r="M121" i="13" s="1"/>
  <c r="H49" i="46"/>
  <c r="K100" i="13"/>
  <c r="M100" i="13" s="1"/>
  <c r="M99" i="13" s="1"/>
  <c r="J49" i="46"/>
  <c r="P49" i="46"/>
  <c r="K227" i="13"/>
  <c r="M227" i="13" s="1"/>
  <c r="P50" i="46"/>
  <c r="K204" i="13"/>
  <c r="M204" i="13" s="1"/>
  <c r="J50" i="46"/>
  <c r="H50" i="46"/>
  <c r="AM4" i="17"/>
  <c r="S55" i="17"/>
  <c r="V55" i="17" s="1"/>
  <c r="G119" i="46" s="1"/>
  <c r="S9" i="17"/>
  <c r="V9" i="17" s="1"/>
  <c r="G13" i="46" s="1"/>
  <c r="S10" i="17"/>
  <c r="V10" i="17" s="1"/>
  <c r="G14" i="46" s="1"/>
  <c r="K793" i="13"/>
  <c r="M793" i="13" s="1"/>
  <c r="J169" i="46"/>
  <c r="H169" i="46"/>
  <c r="P169" i="46"/>
  <c r="J81" i="13"/>
  <c r="J62" i="13"/>
  <c r="J50" i="13"/>
  <c r="J64" i="13"/>
  <c r="J48" i="13"/>
  <c r="J18" i="13"/>
  <c r="J34" i="13"/>
  <c r="J32" i="13"/>
  <c r="J16" i="13"/>
  <c r="C253" i="9"/>
  <c r="Q260" i="8"/>
  <c r="S260" i="8" s="1"/>
  <c r="T260" i="8" s="1"/>
  <c r="V306" i="8"/>
  <c r="X306" i="8" s="1"/>
  <c r="P306" i="8"/>
  <c r="R306" i="8" s="1"/>
  <c r="A2" i="79"/>
  <c r="A2" i="81"/>
  <c r="AB53" i="5"/>
  <c r="AA11" i="5" s="1"/>
  <c r="AB51" i="5"/>
  <c r="AA20" i="5" s="1"/>
  <c r="AB50" i="5"/>
  <c r="AA16" i="5" s="1"/>
  <c r="AB52" i="5"/>
  <c r="AA10" i="5" s="1"/>
  <c r="AB54" i="5"/>
  <c r="AA12" i="5" s="1"/>
  <c r="A2" i="80"/>
  <c r="Q266" i="8"/>
  <c r="A2" i="77"/>
  <c r="F21" i="25"/>
  <c r="E15" i="23"/>
  <c r="A241" i="9"/>
  <c r="A38" i="26"/>
  <c r="AS2" i="67"/>
  <c r="C50" i="26"/>
  <c r="AI2" i="67"/>
  <c r="C255" i="9"/>
  <c r="A166" i="7"/>
  <c r="C23" i="26"/>
  <c r="AV2" i="67"/>
  <c r="F12" i="44"/>
  <c r="D17" i="26"/>
  <c r="A62" i="7"/>
  <c r="A2" i="75"/>
  <c r="A2" i="74"/>
  <c r="F9" i="44"/>
  <c r="A2" i="34"/>
  <c r="A2" i="25"/>
  <c r="A2" i="9"/>
  <c r="B2" i="57"/>
  <c r="B2" i="27"/>
  <c r="A2" i="17"/>
  <c r="B2" i="13"/>
  <c r="A2" i="71"/>
  <c r="C21" i="26"/>
  <c r="AF2" i="67"/>
  <c r="C21" i="9"/>
  <c r="A2" i="24"/>
  <c r="B2" i="10"/>
  <c r="A2" i="15"/>
  <c r="A2" i="31"/>
  <c r="A2" i="36"/>
  <c r="B2" i="51"/>
  <c r="C23" i="9"/>
  <c r="A2" i="14"/>
  <c r="B2" i="59"/>
  <c r="A2" i="42"/>
  <c r="B3" i="60"/>
  <c r="B3" i="61"/>
  <c r="B3" i="62"/>
  <c r="B3" i="68"/>
  <c r="A2" i="32"/>
  <c r="B2" i="56"/>
  <c r="A118" i="7"/>
  <c r="A2" i="29"/>
  <c r="A2" i="46"/>
  <c r="A2" i="16"/>
  <c r="B2" i="30"/>
  <c r="A2" i="26"/>
  <c r="A2" i="33"/>
  <c r="A2" i="19"/>
  <c r="G7" i="25"/>
  <c r="G6" i="25" s="1"/>
  <c r="G20" i="25" s="1"/>
  <c r="F15" i="23" s="1"/>
  <c r="E7" i="59"/>
  <c r="E9" i="59" s="1"/>
  <c r="E10" i="59" s="1"/>
  <c r="E11" i="59" s="1"/>
  <c r="O13" i="51"/>
  <c r="H8" i="25"/>
  <c r="H7" i="25" s="1"/>
  <c r="H6" i="25" s="1"/>
  <c r="H20" i="25" s="1"/>
  <c r="G15" i="23" s="1"/>
  <c r="M775" i="13" l="1"/>
  <c r="M795" i="13"/>
  <c r="M791" i="13" s="1"/>
  <c r="L300" i="10" s="1"/>
  <c r="Q300" i="10" s="1"/>
  <c r="Q310" i="10" s="1"/>
  <c r="D185" i="9" s="1"/>
  <c r="D190" i="9" s="1"/>
  <c r="M730" i="13"/>
  <c r="M760" i="13"/>
  <c r="M745" i="13"/>
  <c r="D183" i="9"/>
  <c r="D189" i="9" s="1"/>
  <c r="D247" i="9" s="1"/>
  <c r="P26" i="5" s="1"/>
  <c r="W43" i="5" s="1"/>
  <c r="P332" i="10"/>
  <c r="O47" i="46"/>
  <c r="I47" i="46"/>
  <c r="O50" i="46"/>
  <c r="I50" i="46"/>
  <c r="O168" i="46"/>
  <c r="I168" i="46"/>
  <c r="I120" i="46"/>
  <c r="O120" i="46"/>
  <c r="P44" i="46"/>
  <c r="O198" i="46"/>
  <c r="O197" i="46" s="1"/>
  <c r="I198" i="46"/>
  <c r="I197" i="46" s="1"/>
  <c r="M310" i="13"/>
  <c r="S783" i="13"/>
  <c r="M796" i="13"/>
  <c r="L329" i="10"/>
  <c r="Q329" i="10" s="1"/>
  <c r="S1104" i="13"/>
  <c r="M1112" i="13"/>
  <c r="M393" i="13"/>
  <c r="M203" i="13"/>
  <c r="P166" i="46"/>
  <c r="J170" i="46" s="1"/>
  <c r="O46" i="46"/>
  <c r="I46" i="46"/>
  <c r="O80" i="46"/>
  <c r="I80" i="46"/>
  <c r="S40" i="13"/>
  <c r="L40" i="10"/>
  <c r="Q40" i="10" s="1"/>
  <c r="M45" i="13"/>
  <c r="M442" i="13"/>
  <c r="L175" i="10"/>
  <c r="Q175" i="10" s="1"/>
  <c r="S431" i="13"/>
  <c r="M352" i="13"/>
  <c r="L156" i="10"/>
  <c r="Q156" i="10" s="1"/>
  <c r="S344" i="13"/>
  <c r="M607" i="13"/>
  <c r="L239" i="10"/>
  <c r="Q239" i="10" s="1"/>
  <c r="S597" i="13"/>
  <c r="M226" i="13"/>
  <c r="O167" i="46"/>
  <c r="I167" i="46"/>
  <c r="L53" i="10"/>
  <c r="Q53" i="10" s="1"/>
  <c r="S70" i="13"/>
  <c r="M78" i="13"/>
  <c r="O78" i="46"/>
  <c r="I78" i="46"/>
  <c r="M420" i="13"/>
  <c r="L173" i="10"/>
  <c r="Q173" i="10" s="1"/>
  <c r="Q206" i="10" s="1"/>
  <c r="D98" i="9" s="1"/>
  <c r="D103" i="9" s="1"/>
  <c r="D104" i="9" s="1"/>
  <c r="S409" i="13"/>
  <c r="I48" i="46"/>
  <c r="O48" i="46"/>
  <c r="M269" i="13"/>
  <c r="S261" i="13"/>
  <c r="L122" i="10"/>
  <c r="Q122" i="10" s="1"/>
  <c r="M544" i="13"/>
  <c r="S534" i="13"/>
  <c r="L216" i="10"/>
  <c r="Q216" i="10" s="1"/>
  <c r="O81" i="46"/>
  <c r="I81" i="46"/>
  <c r="I169" i="46"/>
  <c r="O169" i="46"/>
  <c r="L20" i="10"/>
  <c r="Q20" i="10" s="1"/>
  <c r="M29" i="13"/>
  <c r="S24" i="13"/>
  <c r="M463" i="13"/>
  <c r="S453" i="13"/>
  <c r="L198" i="10"/>
  <c r="Q198" i="10" s="1"/>
  <c r="M180" i="13"/>
  <c r="O147" i="46"/>
  <c r="I147" i="46"/>
  <c r="L160" i="10"/>
  <c r="Q160" i="10" s="1"/>
  <c r="M373" i="13"/>
  <c r="S363" i="13"/>
  <c r="M162" i="13"/>
  <c r="S154" i="13"/>
  <c r="L88" i="10"/>
  <c r="Q88" i="10" s="1"/>
  <c r="J97" i="46"/>
  <c r="K98" i="46" s="1"/>
  <c r="K97" i="46" s="1"/>
  <c r="J76" i="46"/>
  <c r="K78" i="46" s="1"/>
  <c r="K77" i="46"/>
  <c r="S618" i="13"/>
  <c r="L242" i="10"/>
  <c r="Q242" i="10" s="1"/>
  <c r="M628" i="13"/>
  <c r="M101" i="13"/>
  <c r="S90" i="13"/>
  <c r="L66" i="10"/>
  <c r="Q66" i="10" s="1"/>
  <c r="S280" i="13"/>
  <c r="M290" i="13"/>
  <c r="L127" i="10"/>
  <c r="Q127" i="10" s="1"/>
  <c r="O12" i="46"/>
  <c r="I12" i="46"/>
  <c r="O146" i="46"/>
  <c r="I146" i="46"/>
  <c r="P145" i="46"/>
  <c r="K58" i="13"/>
  <c r="M58" i="13" s="1"/>
  <c r="M57" i="13" s="1"/>
  <c r="H14" i="46"/>
  <c r="P14" i="46"/>
  <c r="J14" i="46"/>
  <c r="O49" i="46"/>
  <c r="I49" i="46"/>
  <c r="O98" i="46"/>
  <c r="O97" i="46" s="1"/>
  <c r="I98" i="46"/>
  <c r="I97" i="46" s="1"/>
  <c r="S699" i="13"/>
  <c r="L275" i="10"/>
  <c r="Q275" i="10" s="1"/>
  <c r="M711" i="13"/>
  <c r="I77" i="46"/>
  <c r="O77" i="46"/>
  <c r="M565" i="13"/>
  <c r="S555" i="13"/>
  <c r="L227" i="10"/>
  <c r="Q227" i="10" s="1"/>
  <c r="K12" i="13"/>
  <c r="M12" i="13" s="1"/>
  <c r="M11" i="13" s="1"/>
  <c r="H13" i="46"/>
  <c r="P13" i="46"/>
  <c r="J13" i="46"/>
  <c r="L77" i="10"/>
  <c r="Q77" i="10" s="1"/>
  <c r="M123" i="13"/>
  <c r="S112" i="13"/>
  <c r="K81" i="46"/>
  <c r="J44" i="46"/>
  <c r="J197" i="46"/>
  <c r="K198" i="46" s="1"/>
  <c r="K197" i="46" s="1"/>
  <c r="S675" i="13"/>
  <c r="L267" i="10"/>
  <c r="Q267" i="10" s="1"/>
  <c r="M688" i="13"/>
  <c r="P76" i="46"/>
  <c r="K503" i="13"/>
  <c r="M503" i="13" s="1"/>
  <c r="M502" i="13" s="1"/>
  <c r="H119" i="46"/>
  <c r="J119" i="46"/>
  <c r="P119" i="46"/>
  <c r="P118" i="46" s="1"/>
  <c r="O79" i="46"/>
  <c r="I79" i="46"/>
  <c r="O45" i="46"/>
  <c r="I45" i="46"/>
  <c r="I44" i="46" s="1"/>
  <c r="S828" i="13"/>
  <c r="L312" i="10"/>
  <c r="Q312" i="10" s="1"/>
  <c r="Q331" i="10" s="1"/>
  <c r="D214" i="9" s="1"/>
  <c r="D219" i="9" s="1"/>
  <c r="D220" i="9" s="1"/>
  <c r="M836" i="13"/>
  <c r="J145" i="46"/>
  <c r="K146" i="46" s="1"/>
  <c r="M586" i="13"/>
  <c r="S576" i="13"/>
  <c r="L237" i="10"/>
  <c r="Q237" i="10" s="1"/>
  <c r="AA51" i="5"/>
  <c r="AA53" i="5"/>
  <c r="Y11" i="5" s="1"/>
  <c r="AA54" i="5"/>
  <c r="Y12" i="5" s="1"/>
  <c r="AA52" i="5"/>
  <c r="AA50" i="5"/>
  <c r="S266" i="8"/>
  <c r="T266" i="8" s="1"/>
  <c r="Q306" i="8"/>
  <c r="S306" i="8" s="1"/>
  <c r="T306" i="8" s="1"/>
  <c r="W306" i="8"/>
  <c r="Y306" i="8" s="1"/>
  <c r="Z306" i="8" s="1"/>
  <c r="H21" i="25"/>
  <c r="H12" i="44"/>
  <c r="G21" i="25"/>
  <c r="G12" i="44"/>
  <c r="D21" i="26"/>
  <c r="B2" i="60"/>
  <c r="B2" i="61"/>
  <c r="B2" i="68"/>
  <c r="B2" i="62"/>
  <c r="E12" i="59"/>
  <c r="E13" i="59" s="1"/>
  <c r="O166" i="46" l="1"/>
  <c r="I170" i="46" s="1"/>
  <c r="I76" i="46"/>
  <c r="D191" i="9"/>
  <c r="D195" i="9" s="1"/>
  <c r="K79" i="46"/>
  <c r="O76" i="46"/>
  <c r="K46" i="46"/>
  <c r="L41" i="46"/>
  <c r="L44" i="46"/>
  <c r="J51" i="46"/>
  <c r="L23" i="46"/>
  <c r="M59" i="13"/>
  <c r="L47" i="10"/>
  <c r="Q47" i="10" s="1"/>
  <c r="S56" i="13"/>
  <c r="M272" i="13"/>
  <c r="I166" i="46"/>
  <c r="O119" i="46"/>
  <c r="O118" i="46" s="1"/>
  <c r="I119" i="46"/>
  <c r="I118" i="46" s="1"/>
  <c r="M714" i="13"/>
  <c r="M631" i="13"/>
  <c r="M32" i="13"/>
  <c r="S217" i="13"/>
  <c r="L99" i="10"/>
  <c r="Q99" i="10" s="1"/>
  <c r="M229" i="13"/>
  <c r="L94" i="10"/>
  <c r="Q94" i="10" s="1"/>
  <c r="M206" i="13"/>
  <c r="S194" i="13"/>
  <c r="I14" i="46"/>
  <c r="O14" i="46"/>
  <c r="M376" i="13"/>
  <c r="K50" i="46"/>
  <c r="M466" i="13"/>
  <c r="M126" i="13"/>
  <c r="L128" i="46"/>
  <c r="L142" i="46"/>
  <c r="J148" i="46"/>
  <c r="L145" i="46"/>
  <c r="K147" i="46"/>
  <c r="K145" i="46" s="1"/>
  <c r="J166" i="46"/>
  <c r="S384" i="13"/>
  <c r="M397" i="13"/>
  <c r="L164" i="10"/>
  <c r="Q164" i="10" s="1"/>
  <c r="M839" i="13"/>
  <c r="K49" i="46"/>
  <c r="D108" i="9"/>
  <c r="M610" i="13"/>
  <c r="M1115" i="13"/>
  <c r="D224" i="9"/>
  <c r="M691" i="13"/>
  <c r="L73" i="46"/>
  <c r="L76" i="46"/>
  <c r="J82" i="46"/>
  <c r="L58" i="46"/>
  <c r="M423" i="13"/>
  <c r="O13" i="46"/>
  <c r="I13" i="46"/>
  <c r="I145" i="46"/>
  <c r="M104" i="13"/>
  <c r="S494" i="13"/>
  <c r="L210" i="10"/>
  <c r="Q210" i="10" s="1"/>
  <c r="Q214" i="10" s="1"/>
  <c r="D127" i="9" s="1"/>
  <c r="D132" i="9" s="1"/>
  <c r="D133" i="9" s="1"/>
  <c r="M505" i="13"/>
  <c r="M13" i="13"/>
  <c r="L10" i="10"/>
  <c r="Q10" i="10" s="1"/>
  <c r="S8" i="13"/>
  <c r="M293" i="13"/>
  <c r="L97" i="46"/>
  <c r="L95" i="46"/>
  <c r="L89" i="46"/>
  <c r="J99" i="46"/>
  <c r="O145" i="46"/>
  <c r="Q289" i="10"/>
  <c r="D156" i="9" s="1"/>
  <c r="D161" i="9" s="1"/>
  <c r="D162" i="9" s="1"/>
  <c r="M355" i="13"/>
  <c r="M799" i="13"/>
  <c r="M48" i="13"/>
  <c r="O44" i="46"/>
  <c r="S173" i="13"/>
  <c r="M183" i="13"/>
  <c r="L91" i="10"/>
  <c r="Q91" i="10" s="1"/>
  <c r="M81" i="13"/>
  <c r="K80" i="46"/>
  <c r="J118" i="46"/>
  <c r="K119" i="46" s="1"/>
  <c r="L197" i="46"/>
  <c r="L178" i="46"/>
  <c r="J199" i="46"/>
  <c r="L195" i="46"/>
  <c r="M547" i="13"/>
  <c r="K48" i="46"/>
  <c r="M589" i="13"/>
  <c r="K45" i="46"/>
  <c r="M568" i="13"/>
  <c r="P11" i="46"/>
  <c r="J15" i="46" s="1"/>
  <c r="M165" i="13"/>
  <c r="M445" i="13"/>
  <c r="K47" i="46"/>
  <c r="L132" i="10"/>
  <c r="Q132" i="10" s="1"/>
  <c r="M313" i="13"/>
  <c r="S301" i="13"/>
  <c r="G9" i="44"/>
  <c r="H9" i="44"/>
  <c r="Q171" i="10" l="1"/>
  <c r="D69" i="9" s="1"/>
  <c r="D74" i="9" s="1"/>
  <c r="D75" i="9" s="1"/>
  <c r="K76" i="46"/>
  <c r="Q103" i="10"/>
  <c r="D40" i="9" s="1"/>
  <c r="D45" i="9" s="1"/>
  <c r="D46" i="9" s="1"/>
  <c r="D50" i="9" s="1"/>
  <c r="Q64" i="10"/>
  <c r="D11" i="9" s="1"/>
  <c r="D16" i="9" s="1"/>
  <c r="D79" i="9"/>
  <c r="D137" i="9"/>
  <c r="M232" i="13"/>
  <c r="M400" i="13"/>
  <c r="M186" i="13"/>
  <c r="M62" i="13"/>
  <c r="L164" i="46"/>
  <c r="L155" i="46"/>
  <c r="J171" i="46"/>
  <c r="L166" i="46"/>
  <c r="K169" i="46"/>
  <c r="K168" i="46"/>
  <c r="K167" i="46"/>
  <c r="O11" i="46"/>
  <c r="I15" i="46" s="1"/>
  <c r="I11" i="46" s="1"/>
  <c r="D166" i="9"/>
  <c r="K44" i="46"/>
  <c r="M316" i="13"/>
  <c r="J121" i="46"/>
  <c r="L118" i="46"/>
  <c r="L115" i="46"/>
  <c r="L106" i="46"/>
  <c r="K120" i="46"/>
  <c r="K118" i="46" s="1"/>
  <c r="M16" i="13"/>
  <c r="M209" i="13"/>
  <c r="M508" i="13"/>
  <c r="K170" i="46"/>
  <c r="J11" i="46"/>
  <c r="K15" i="46" s="1"/>
  <c r="G13" i="23"/>
  <c r="Q332" i="10" l="1"/>
  <c r="K166" i="46"/>
  <c r="D248" i="9"/>
  <c r="D17" i="9"/>
  <c r="L9" i="46"/>
  <c r="L7" i="46"/>
  <c r="L11" i="46"/>
  <c r="J16" i="46"/>
  <c r="K12" i="46"/>
  <c r="K13" i="46"/>
  <c r="K14" i="46"/>
  <c r="H10" i="57"/>
  <c r="G10" i="57"/>
  <c r="K11" i="46" l="1"/>
  <c r="D249" i="9"/>
  <c r="D21" i="9"/>
  <c r="D253" i="9" s="1"/>
  <c r="G11" i="57"/>
  <c r="F27" i="6"/>
  <c r="H11" i="57"/>
  <c r="G27" i="6"/>
  <c r="T319" i="8"/>
  <c r="I10" i="57"/>
  <c r="I11" i="57" l="1"/>
  <c r="H27" i="6"/>
  <c r="C68" i="7" s="1"/>
  <c r="T325" i="8"/>
  <c r="I76" i="40" l="1"/>
  <c r="N76" i="40" s="1"/>
  <c r="Y16" i="5"/>
  <c r="Y20" i="5"/>
  <c r="Y10" i="5" l="1"/>
  <c r="V178" i="8"/>
  <c r="X178" i="8" s="1"/>
  <c r="V87" i="8"/>
  <c r="V97" i="8"/>
  <c r="X97" i="8" s="1"/>
  <c r="V60" i="8"/>
  <c r="X60" i="8" s="1"/>
  <c r="V126" i="8"/>
  <c r="V250" i="8"/>
  <c r="X250" i="8" s="1"/>
  <c r="P240" i="8"/>
  <c r="R240" i="8" s="1"/>
  <c r="V70" i="8"/>
  <c r="V136" i="8"/>
  <c r="X136" i="8" s="1"/>
  <c r="V188" i="8"/>
  <c r="X188" i="8" s="1"/>
  <c r="U188" i="8"/>
  <c r="P188" i="8" s="1"/>
  <c r="R188" i="8" s="1"/>
  <c r="Q240" i="8" l="1"/>
  <c r="W178" i="8"/>
  <c r="Y178" i="8" s="1"/>
  <c r="Z178" i="8" s="1"/>
  <c r="V147" i="8"/>
  <c r="X147" i="8" s="1"/>
  <c r="P250" i="8"/>
  <c r="R250" i="8" s="1"/>
  <c r="V157" i="8"/>
  <c r="X157" i="8" s="1"/>
  <c r="Q188" i="8"/>
  <c r="S188" i="8" s="1"/>
  <c r="T188" i="8" s="1"/>
  <c r="X70" i="8"/>
  <c r="W70" i="8"/>
  <c r="Y70" i="8" s="1"/>
  <c r="V240" i="8"/>
  <c r="X240" i="8" s="1"/>
  <c r="X126" i="8"/>
  <c r="W126" i="8"/>
  <c r="Y126" i="8" s="1"/>
  <c r="X87" i="8"/>
  <c r="W87" i="8"/>
  <c r="Y87" i="8" s="1"/>
  <c r="W250" i="8"/>
  <c r="W188" i="8"/>
  <c r="Y188" i="8" s="1"/>
  <c r="Z188" i="8" s="1"/>
  <c r="W136" i="8"/>
  <c r="Y136" i="8" s="1"/>
  <c r="Z136" i="8" s="1"/>
  <c r="W97" i="8"/>
  <c r="Y97" i="8" s="1"/>
  <c r="Z97" i="8" s="1"/>
  <c r="W60" i="8"/>
  <c r="Y60" i="8" s="1"/>
  <c r="Z60" i="8" s="1"/>
  <c r="Y250" i="8" l="1"/>
  <c r="Z250" i="8" s="1"/>
  <c r="S240" i="8"/>
  <c r="T240" i="8" s="1"/>
  <c r="W240" i="8"/>
  <c r="Q250" i="8"/>
  <c r="W147" i="8"/>
  <c r="Y147" i="8" s="1"/>
  <c r="Z147" i="8" s="1"/>
  <c r="W157" i="8"/>
  <c r="Y157" i="8" s="1"/>
  <c r="Z157" i="8" s="1"/>
  <c r="Z70" i="8"/>
  <c r="Z87" i="8"/>
  <c r="Z126" i="8"/>
  <c r="W26" i="5"/>
  <c r="Y240" i="8" l="1"/>
  <c r="Z240" i="8" s="1"/>
  <c r="S250" i="8"/>
  <c r="T250" i="8" s="1"/>
  <c r="AB63" i="5"/>
  <c r="N44" i="5" s="1"/>
  <c r="AB62" i="5"/>
  <c r="AE37" i="5"/>
  <c r="Y14" i="5" s="1"/>
  <c r="AE36" i="5"/>
  <c r="Y9" i="5" s="1"/>
  <c r="AE38" i="5"/>
  <c r="Y15" i="5" s="1"/>
  <c r="AE39" i="5"/>
  <c r="Y18" i="5" s="1"/>
  <c r="AE34" i="5"/>
  <c r="Y6" i="5" s="1"/>
  <c r="AE40" i="5"/>
  <c r="Y19" i="5" s="1"/>
  <c r="AE35" i="5"/>
  <c r="Y8" i="5" s="1"/>
  <c r="AE33" i="5"/>
  <c r="Y5" i="5" s="1"/>
  <c r="AE41" i="5"/>
  <c r="Y22" i="5" s="1"/>
  <c r="F20" i="9" l="1"/>
  <c r="F223" i="9"/>
  <c r="F194" i="9"/>
  <c r="F78" i="9"/>
  <c r="F49" i="9"/>
  <c r="F107" i="9"/>
  <c r="F165" i="9"/>
  <c r="F136" i="9"/>
  <c r="N40" i="5"/>
  <c r="C252" i="9"/>
  <c r="D20" i="9"/>
  <c r="C20" i="9"/>
  <c r="AE2" i="67"/>
  <c r="C136" i="9" l="1"/>
  <c r="J507" i="13"/>
  <c r="J524" i="13"/>
  <c r="J485" i="13"/>
  <c r="M524" i="13"/>
  <c r="M485" i="13"/>
  <c r="M507" i="13"/>
  <c r="D136" i="9"/>
  <c r="C78" i="9"/>
  <c r="J399" i="13"/>
  <c r="J315" i="13"/>
  <c r="J354" i="13"/>
  <c r="J271" i="13"/>
  <c r="J335" i="13"/>
  <c r="J252" i="13"/>
  <c r="J375" i="13"/>
  <c r="J292" i="13"/>
  <c r="M335" i="13"/>
  <c r="M252" i="13"/>
  <c r="M292" i="13"/>
  <c r="M354" i="13"/>
  <c r="M375" i="13"/>
  <c r="M271" i="13"/>
  <c r="D78" i="9"/>
  <c r="M399" i="13"/>
  <c r="M315" i="13"/>
  <c r="C165" i="9"/>
  <c r="J630" i="13"/>
  <c r="J588" i="13"/>
  <c r="J567" i="13"/>
  <c r="J546" i="13"/>
  <c r="J713" i="13"/>
  <c r="J690" i="13"/>
  <c r="J666" i="13"/>
  <c r="J648" i="13"/>
  <c r="J609" i="13"/>
  <c r="M666" i="13"/>
  <c r="M648" i="13"/>
  <c r="M588" i="13"/>
  <c r="M630" i="13"/>
  <c r="M690" i="13"/>
  <c r="M713" i="13"/>
  <c r="M609" i="13"/>
  <c r="M546" i="13"/>
  <c r="M567" i="13"/>
  <c r="D165" i="9"/>
  <c r="C194" i="9"/>
  <c r="J774" i="13"/>
  <c r="J818" i="13"/>
  <c r="J759" i="13"/>
  <c r="J798" i="13"/>
  <c r="J744" i="13"/>
  <c r="J729" i="13"/>
  <c r="M818" i="13"/>
  <c r="M774" i="13"/>
  <c r="M759" i="13"/>
  <c r="M729" i="13"/>
  <c r="M744" i="13"/>
  <c r="D194" i="9"/>
  <c r="M798" i="13"/>
  <c r="J444" i="13"/>
  <c r="J422" i="13"/>
  <c r="J465" i="13"/>
  <c r="C107" i="9"/>
  <c r="M465" i="13"/>
  <c r="M444" i="13"/>
  <c r="D107" i="9"/>
  <c r="M422" i="13"/>
  <c r="C223" i="9"/>
  <c r="J1095" i="13"/>
  <c r="J1078" i="13"/>
  <c r="J1061" i="13"/>
  <c r="J1044" i="13"/>
  <c r="J1027" i="13"/>
  <c r="J1010" i="13"/>
  <c r="J993" i="13"/>
  <c r="J976" i="13"/>
  <c r="J1114" i="13"/>
  <c r="J959" i="13"/>
  <c r="J942" i="13"/>
  <c r="J924" i="13"/>
  <c r="J906" i="13"/>
  <c r="J889" i="13"/>
  <c r="J872" i="13"/>
  <c r="J855" i="13"/>
  <c r="J838" i="13"/>
  <c r="M855" i="13"/>
  <c r="M1095" i="13"/>
  <c r="M942" i="13"/>
  <c r="M872" i="13"/>
  <c r="M1010" i="13"/>
  <c r="M1061" i="13"/>
  <c r="M924" i="13"/>
  <c r="M906" i="13"/>
  <c r="M993" i="13"/>
  <c r="M959" i="13"/>
  <c r="M1044" i="13"/>
  <c r="M1078" i="13"/>
  <c r="M976" i="13"/>
  <c r="M889" i="13"/>
  <c r="M1027" i="13"/>
  <c r="M838" i="13"/>
  <c r="M1114" i="13"/>
  <c r="D223" i="9"/>
  <c r="C49" i="9"/>
  <c r="J231" i="13"/>
  <c r="J208" i="13"/>
  <c r="J164" i="13"/>
  <c r="J145" i="13"/>
  <c r="J185" i="13"/>
  <c r="J125" i="13"/>
  <c r="J103" i="13"/>
  <c r="M145" i="13"/>
  <c r="M103" i="13"/>
  <c r="M164" i="13"/>
  <c r="M125" i="13"/>
  <c r="M185" i="13"/>
  <c r="M208" i="13"/>
  <c r="D49" i="9"/>
  <c r="M231" i="13"/>
  <c r="J47" i="13"/>
  <c r="J31" i="13"/>
  <c r="J61" i="13"/>
  <c r="J80" i="13"/>
  <c r="J15" i="13"/>
  <c r="M47" i="13"/>
  <c r="M31" i="13"/>
  <c r="M80" i="13"/>
  <c r="M15" i="13"/>
  <c r="M61" i="13"/>
  <c r="F222" i="9"/>
  <c r="F106" i="9"/>
  <c r="F164" i="9"/>
  <c r="F193" i="9"/>
  <c r="F77" i="9"/>
  <c r="F135" i="9"/>
  <c r="F19" i="9"/>
  <c r="F48" i="9"/>
  <c r="D252" i="9" l="1"/>
  <c r="J587" i="13"/>
  <c r="M587" i="13"/>
  <c r="M590" i="13" s="1"/>
  <c r="J608" i="13"/>
  <c r="M608" i="13"/>
  <c r="M611" i="13" s="1"/>
  <c r="J629" i="13"/>
  <c r="M629" i="13"/>
  <c r="M632" i="13" s="1"/>
  <c r="J566" i="13"/>
  <c r="M566" i="13"/>
  <c r="M569" i="13" s="1"/>
  <c r="J545" i="13"/>
  <c r="M545" i="13"/>
  <c r="M548" i="13" s="1"/>
  <c r="J464" i="13"/>
  <c r="M464" i="13"/>
  <c r="M467" i="13" s="1"/>
  <c r="J443" i="13"/>
  <c r="M443" i="13"/>
  <c r="M446" i="13" s="1"/>
  <c r="J421" i="13"/>
  <c r="M421" i="13"/>
  <c r="M424" i="13" s="1"/>
  <c r="J398" i="13"/>
  <c r="M398" i="13"/>
  <c r="M401" i="13" s="1"/>
  <c r="J314" i="13"/>
  <c r="M314" i="13"/>
  <c r="M317" i="13" s="1"/>
  <c r="J230" i="13"/>
  <c r="M230" i="13"/>
  <c r="M233" i="13" s="1"/>
  <c r="J207" i="13"/>
  <c r="M207" i="13"/>
  <c r="M210" i="13" s="1"/>
  <c r="J1113" i="13"/>
  <c r="M1113" i="13"/>
  <c r="M1116" i="13" s="1"/>
  <c r="J1094" i="13"/>
  <c r="M1094" i="13"/>
  <c r="M1097" i="13" s="1"/>
  <c r="J1077" i="13"/>
  <c r="M1077" i="13"/>
  <c r="M1080" i="13" s="1"/>
  <c r="J1060" i="13"/>
  <c r="M1060" i="13"/>
  <c r="M1063" i="13" s="1"/>
  <c r="J1043" i="13"/>
  <c r="M1043" i="13"/>
  <c r="M1046" i="13" s="1"/>
  <c r="J1026" i="13"/>
  <c r="M1026" i="13"/>
  <c r="M1029" i="13" s="1"/>
  <c r="J1009" i="13"/>
  <c r="M1009" i="13"/>
  <c r="M1012" i="13" s="1"/>
  <c r="J992" i="13"/>
  <c r="M992" i="13"/>
  <c r="M995" i="13" s="1"/>
  <c r="J975" i="13"/>
  <c r="M975" i="13"/>
  <c r="M978" i="13" s="1"/>
  <c r="J958" i="13"/>
  <c r="M958" i="13"/>
  <c r="M961" i="13" s="1"/>
  <c r="J941" i="13"/>
  <c r="M941" i="13"/>
  <c r="M944" i="13" s="1"/>
  <c r="J923" i="13"/>
  <c r="M923" i="13"/>
  <c r="M926" i="13" s="1"/>
  <c r="J905" i="13"/>
  <c r="M905" i="13"/>
  <c r="M908" i="13" s="1"/>
  <c r="J888" i="13"/>
  <c r="M888" i="13"/>
  <c r="M891" i="13" s="1"/>
  <c r="J871" i="13"/>
  <c r="M871" i="13"/>
  <c r="M874" i="13" s="1"/>
  <c r="J854" i="13"/>
  <c r="M854" i="13"/>
  <c r="M857" i="13" s="1"/>
  <c r="J837" i="13"/>
  <c r="M837" i="13"/>
  <c r="M840" i="13" s="1"/>
  <c r="J817" i="13"/>
  <c r="M817" i="13"/>
  <c r="M820" i="13" s="1"/>
  <c r="J797" i="13"/>
  <c r="M797" i="13"/>
  <c r="M800" i="13" s="1"/>
  <c r="J773" i="13"/>
  <c r="M773" i="13"/>
  <c r="M776" i="13" s="1"/>
  <c r="J758" i="13"/>
  <c r="M758" i="13"/>
  <c r="M761" i="13" s="1"/>
  <c r="J743" i="13"/>
  <c r="M743" i="13"/>
  <c r="M746" i="13" s="1"/>
  <c r="J728" i="13"/>
  <c r="M728" i="13"/>
  <c r="M731" i="13" s="1"/>
  <c r="J712" i="13"/>
  <c r="M712" i="13"/>
  <c r="M715" i="13" s="1"/>
  <c r="J689" i="13"/>
  <c r="M689" i="13"/>
  <c r="M692" i="13" s="1"/>
  <c r="J665" i="13"/>
  <c r="M665" i="13"/>
  <c r="M668" i="13" s="1"/>
  <c r="J647" i="13"/>
  <c r="M647" i="13"/>
  <c r="M650" i="13" s="1"/>
  <c r="J523" i="13"/>
  <c r="M523" i="13"/>
  <c r="M526" i="13" s="1"/>
  <c r="J506" i="13"/>
  <c r="M506" i="13"/>
  <c r="M509" i="13" s="1"/>
  <c r="J484" i="13"/>
  <c r="M484" i="13"/>
  <c r="M487" i="13" s="1"/>
  <c r="J374" i="13"/>
  <c r="M374" i="13"/>
  <c r="M377" i="13" s="1"/>
  <c r="J353" i="13"/>
  <c r="M353" i="13"/>
  <c r="M356" i="13" s="1"/>
  <c r="J334" i="13"/>
  <c r="M334" i="13"/>
  <c r="M337" i="13" s="1"/>
  <c r="J291" i="13"/>
  <c r="M291" i="13"/>
  <c r="M294" i="13" s="1"/>
  <c r="J270" i="13"/>
  <c r="M270" i="13"/>
  <c r="M273" i="13" s="1"/>
  <c r="J251" i="13"/>
  <c r="M251" i="13"/>
  <c r="M254" i="13" s="1"/>
  <c r="J184" i="13"/>
  <c r="M184" i="13"/>
  <c r="M187" i="13" s="1"/>
  <c r="J163" i="13"/>
  <c r="M163" i="13"/>
  <c r="M166" i="13" s="1"/>
  <c r="J144" i="13"/>
  <c r="M144" i="13"/>
  <c r="M147" i="13" s="1"/>
  <c r="J124" i="13"/>
  <c r="M124" i="13"/>
  <c r="M127" i="13" s="1"/>
  <c r="J102" i="13"/>
  <c r="M102" i="13"/>
  <c r="M105" i="13" s="1"/>
  <c r="J79" i="13"/>
  <c r="M79" i="13"/>
  <c r="M82" i="13" s="1"/>
  <c r="J60" i="13"/>
  <c r="M60" i="13"/>
  <c r="M63" i="13" s="1"/>
  <c r="J46" i="13"/>
  <c r="M46" i="13"/>
  <c r="M49" i="13" s="1"/>
  <c r="J30" i="13"/>
  <c r="M30" i="13"/>
  <c r="M33" i="13" s="1"/>
  <c r="J14" i="13"/>
  <c r="M14" i="13"/>
  <c r="M17" i="13" s="1"/>
  <c r="C222" i="9"/>
  <c r="D222" i="9"/>
  <c r="D225" i="9" s="1"/>
  <c r="D226" i="9" s="1"/>
  <c r="D227" i="9" s="1"/>
  <c r="F16" i="6" s="1"/>
  <c r="C193" i="9"/>
  <c r="D193" i="9"/>
  <c r="D196" i="9" s="1"/>
  <c r="C164" i="9"/>
  <c r="D164" i="9"/>
  <c r="D167" i="9" s="1"/>
  <c r="D168" i="9" s="1"/>
  <c r="D169" i="9" s="1"/>
  <c r="F14" i="6" s="1"/>
  <c r="C135" i="9"/>
  <c r="D135" i="9"/>
  <c r="D138" i="9" s="1"/>
  <c r="C106" i="9"/>
  <c r="D106" i="9"/>
  <c r="D109" i="9" s="1"/>
  <c r="C77" i="9"/>
  <c r="D77" i="9"/>
  <c r="D80" i="9" s="1"/>
  <c r="D81" i="9" s="1"/>
  <c r="D82" i="9" s="1"/>
  <c r="F11" i="6" s="1"/>
  <c r="C48" i="9"/>
  <c r="D48" i="9"/>
  <c r="D51" i="9" s="1"/>
  <c r="C19" i="9"/>
  <c r="D19" i="9"/>
  <c r="C251" i="9"/>
  <c r="AD2" i="67"/>
  <c r="M591" i="13" l="1"/>
  <c r="M592" i="13" s="1"/>
  <c r="M612" i="13"/>
  <c r="M613" i="13" s="1"/>
  <c r="M633" i="13"/>
  <c r="M634" i="13" s="1"/>
  <c r="M570" i="13"/>
  <c r="M571" i="13" s="1"/>
  <c r="M549" i="13"/>
  <c r="M550" i="13" s="1"/>
  <c r="M468" i="13"/>
  <c r="M469" i="13" s="1"/>
  <c r="M447" i="13"/>
  <c r="M448" i="13" s="1"/>
  <c r="M425" i="13"/>
  <c r="M426" i="13" s="1"/>
  <c r="M402" i="13"/>
  <c r="M403" i="13" s="1"/>
  <c r="M318" i="13"/>
  <c r="M319" i="13" s="1"/>
  <c r="M234" i="13"/>
  <c r="M235" i="13" s="1"/>
  <c r="M211" i="13"/>
  <c r="M212" i="13" s="1"/>
  <c r="M1117" i="13"/>
  <c r="M1118" i="13" s="1"/>
  <c r="M1098" i="13"/>
  <c r="M1099" i="13" s="1"/>
  <c r="M1081" i="13"/>
  <c r="M1082" i="13" s="1"/>
  <c r="M1064" i="13"/>
  <c r="M1065" i="13" s="1"/>
  <c r="M1047" i="13"/>
  <c r="M1048" i="13" s="1"/>
  <c r="M1030" i="13"/>
  <c r="M1031" i="13" s="1"/>
  <c r="M1013" i="13"/>
  <c r="M1014" i="13" s="1"/>
  <c r="M996" i="13"/>
  <c r="M997" i="13" s="1"/>
  <c r="M979" i="13"/>
  <c r="M980" i="13" s="1"/>
  <c r="M962" i="13"/>
  <c r="M963" i="13" s="1"/>
  <c r="M945" i="13"/>
  <c r="M946" i="13" s="1"/>
  <c r="M927" i="13"/>
  <c r="M928" i="13" s="1"/>
  <c r="M909" i="13"/>
  <c r="M910" i="13" s="1"/>
  <c r="M892" i="13"/>
  <c r="M893" i="13" s="1"/>
  <c r="M875" i="13"/>
  <c r="M876" i="13" s="1"/>
  <c r="M858" i="13"/>
  <c r="M859" i="13" s="1"/>
  <c r="M841" i="13"/>
  <c r="M842" i="13" s="1"/>
  <c r="M821" i="13"/>
  <c r="M822" i="13" s="1"/>
  <c r="M801" i="13"/>
  <c r="M802" i="13" s="1"/>
  <c r="M777" i="13"/>
  <c r="M778" i="13" s="1"/>
  <c r="M762" i="13"/>
  <c r="M763" i="13" s="1"/>
  <c r="M747" i="13"/>
  <c r="M748" i="13" s="1"/>
  <c r="M732" i="13"/>
  <c r="M733" i="13" s="1"/>
  <c r="M716" i="13"/>
  <c r="M717" i="13" s="1"/>
  <c r="M693" i="13"/>
  <c r="M694" i="13" s="1"/>
  <c r="M669" i="13"/>
  <c r="M670" i="13" s="1"/>
  <c r="M651" i="13"/>
  <c r="M652" i="13" s="1"/>
  <c r="M527" i="13"/>
  <c r="M528" i="13" s="1"/>
  <c r="M510" i="13"/>
  <c r="M511" i="13" s="1"/>
  <c r="M488" i="13"/>
  <c r="M489" i="13" s="1"/>
  <c r="M378" i="13"/>
  <c r="M379" i="13" s="1"/>
  <c r="M357" i="13"/>
  <c r="M358" i="13" s="1"/>
  <c r="M338" i="13"/>
  <c r="M339" i="13" s="1"/>
  <c r="M295" i="13"/>
  <c r="M296" i="13" s="1"/>
  <c r="M274" i="13"/>
  <c r="M275" i="13" s="1"/>
  <c r="M255" i="13"/>
  <c r="M256" i="13" s="1"/>
  <c r="M188" i="13"/>
  <c r="M189" i="13" s="1"/>
  <c r="M167" i="13"/>
  <c r="M168" i="13" s="1"/>
  <c r="M148" i="13"/>
  <c r="M149" i="13" s="1"/>
  <c r="M128" i="13"/>
  <c r="M129" i="13" s="1"/>
  <c r="M106" i="13"/>
  <c r="M107" i="13" s="1"/>
  <c r="M83" i="13"/>
  <c r="M84" i="13" s="1"/>
  <c r="M64" i="13"/>
  <c r="M65" i="13" s="1"/>
  <c r="M50" i="13"/>
  <c r="M51" i="13" s="1"/>
  <c r="M34" i="13"/>
  <c r="M35" i="13" s="1"/>
  <c r="M18" i="13"/>
  <c r="M19" i="13" s="1"/>
  <c r="D251" i="9"/>
  <c r="D110" i="9"/>
  <c r="D111" i="9" s="1"/>
  <c r="F12" i="6" s="1"/>
  <c r="D228" i="9"/>
  <c r="G16" i="6" s="1"/>
  <c r="D197" i="9"/>
  <c r="D198" i="9" s="1"/>
  <c r="F15" i="6" s="1"/>
  <c r="D170" i="9"/>
  <c r="G14" i="6" s="1"/>
  <c r="D22" i="9"/>
  <c r="D254" i="9" s="1"/>
  <c r="D139" i="9"/>
  <c r="D140" i="9" s="1"/>
  <c r="F13" i="6" s="1"/>
  <c r="D83" i="9"/>
  <c r="G11" i="6" s="1"/>
  <c r="D52" i="9"/>
  <c r="D53" i="9" s="1"/>
  <c r="F10" i="6" s="1"/>
  <c r="M593" i="13" l="1"/>
  <c r="M594" i="13" s="1"/>
  <c r="M614" i="13"/>
  <c r="M615" i="13" s="1"/>
  <c r="M635" i="13"/>
  <c r="M636" i="13" s="1"/>
  <c r="M572" i="13"/>
  <c r="M573" i="13" s="1"/>
  <c r="M551" i="13"/>
  <c r="M552" i="13" s="1"/>
  <c r="M470" i="13"/>
  <c r="M471" i="13" s="1"/>
  <c r="M449" i="13"/>
  <c r="M450" i="13" s="1"/>
  <c r="M427" i="13"/>
  <c r="M428" i="13" s="1"/>
  <c r="M404" i="13"/>
  <c r="M405" i="13" s="1"/>
  <c r="M320" i="13"/>
  <c r="M321" i="13" s="1"/>
  <c r="M236" i="13"/>
  <c r="M237" i="13" s="1"/>
  <c r="M213" i="13"/>
  <c r="M214" i="13" s="1"/>
  <c r="M1119" i="13"/>
  <c r="M1120" i="13" s="1"/>
  <c r="M1100" i="13"/>
  <c r="M1101" i="13" s="1"/>
  <c r="M1083" i="13"/>
  <c r="M1084" i="13" s="1"/>
  <c r="M1066" i="13"/>
  <c r="M1067" i="13" s="1"/>
  <c r="M1049" i="13"/>
  <c r="M1050" i="13" s="1"/>
  <c r="M1032" i="13"/>
  <c r="M1033" i="13" s="1"/>
  <c r="M1015" i="13"/>
  <c r="M1016" i="13" s="1"/>
  <c r="M998" i="13"/>
  <c r="M999" i="13" s="1"/>
  <c r="M981" i="13"/>
  <c r="M982" i="13" s="1"/>
  <c r="M964" i="13"/>
  <c r="M965" i="13" s="1"/>
  <c r="M947" i="13"/>
  <c r="M948" i="13" s="1"/>
  <c r="M929" i="13"/>
  <c r="M930" i="13" s="1"/>
  <c r="M911" i="13"/>
  <c r="M912" i="13" s="1"/>
  <c r="M894" i="13"/>
  <c r="M895" i="13" s="1"/>
  <c r="M877" i="13"/>
  <c r="M878" i="13" s="1"/>
  <c r="M860" i="13"/>
  <c r="M861" i="13" s="1"/>
  <c r="M843" i="13"/>
  <c r="M844" i="13" s="1"/>
  <c r="M823" i="13"/>
  <c r="M824" i="13" s="1"/>
  <c r="M803" i="13"/>
  <c r="M804" i="13" s="1"/>
  <c r="M779" i="13"/>
  <c r="M780" i="13" s="1"/>
  <c r="M764" i="13"/>
  <c r="M765" i="13" s="1"/>
  <c r="M749" i="13"/>
  <c r="M750" i="13" s="1"/>
  <c r="M734" i="13"/>
  <c r="M735" i="13" s="1"/>
  <c r="M718" i="13"/>
  <c r="M719" i="13" s="1"/>
  <c r="M695" i="13"/>
  <c r="M696" i="13" s="1"/>
  <c r="M671" i="13"/>
  <c r="M672" i="13" s="1"/>
  <c r="M653" i="13"/>
  <c r="M654" i="13" s="1"/>
  <c r="M529" i="13"/>
  <c r="M530" i="13" s="1"/>
  <c r="M512" i="13"/>
  <c r="M513" i="13" s="1"/>
  <c r="M490" i="13"/>
  <c r="M491" i="13" s="1"/>
  <c r="M380" i="13"/>
  <c r="M381" i="13" s="1"/>
  <c r="M359" i="13"/>
  <c r="M360" i="13" s="1"/>
  <c r="M340" i="13"/>
  <c r="M341" i="13" s="1"/>
  <c r="M297" i="13"/>
  <c r="M298" i="13" s="1"/>
  <c r="M276" i="13"/>
  <c r="M277" i="13" s="1"/>
  <c r="M257" i="13"/>
  <c r="M258" i="13" s="1"/>
  <c r="M190" i="13"/>
  <c r="M191" i="13" s="1"/>
  <c r="M169" i="13"/>
  <c r="M170" i="13" s="1"/>
  <c r="M150" i="13"/>
  <c r="M151" i="13" s="1"/>
  <c r="M130" i="13"/>
  <c r="M131" i="13" s="1"/>
  <c r="M108" i="13"/>
  <c r="M109" i="13" s="1"/>
  <c r="M85" i="13"/>
  <c r="M86" i="13" s="1"/>
  <c r="M66" i="13"/>
  <c r="M67" i="13" s="1"/>
  <c r="M52" i="13"/>
  <c r="M53" i="13" s="1"/>
  <c r="M36" i="13"/>
  <c r="M37" i="13" s="1"/>
  <c r="M20" i="13"/>
  <c r="M21" i="13" s="1"/>
  <c r="D112" i="9"/>
  <c r="G12" i="6" s="1"/>
  <c r="D229" i="9"/>
  <c r="H16" i="6" s="1"/>
  <c r="D23" i="9"/>
  <c r="D255" i="9" s="1"/>
  <c r="D199" i="9"/>
  <c r="G15" i="6" s="1"/>
  <c r="D171" i="9"/>
  <c r="H14" i="6" s="1"/>
  <c r="D141" i="9"/>
  <c r="G13" i="6" s="1"/>
  <c r="D84" i="9"/>
  <c r="H11" i="6" s="1"/>
  <c r="D54" i="9"/>
  <c r="G10" i="6" s="1"/>
  <c r="D113" i="9" l="1"/>
  <c r="H12" i="6" s="1"/>
  <c r="D24" i="9"/>
  <c r="F9" i="6" s="1"/>
  <c r="F8" i="6" s="1"/>
  <c r="D200" i="9"/>
  <c r="H15" i="6" s="1"/>
  <c r="D142" i="9"/>
  <c r="H13" i="6" s="1"/>
  <c r="D55" i="9"/>
  <c r="H10" i="6" s="1"/>
  <c r="D25" i="9" l="1"/>
  <c r="G9" i="6" s="1"/>
  <c r="G8" i="6" s="1"/>
  <c r="F9" i="43"/>
  <c r="F11" i="43" s="1"/>
  <c r="D256" i="9"/>
  <c r="V347" i="8"/>
  <c r="X347" i="8" s="1"/>
  <c r="V338" i="8"/>
  <c r="X338" i="8" s="1"/>
  <c r="V559" i="8"/>
  <c r="X559" i="8" s="1"/>
  <c r="V568" i="8"/>
  <c r="X568" i="8" s="1"/>
  <c r="V579" i="8"/>
  <c r="X579" i="8" s="1"/>
  <c r="V588" i="8"/>
  <c r="X588" i="8" s="1"/>
  <c r="V286" i="8"/>
  <c r="X286" i="8" s="1"/>
  <c r="G9" i="43" l="1"/>
  <c r="G11" i="43" s="1"/>
  <c r="D26" i="9"/>
  <c r="H9" i="6" s="1"/>
  <c r="H8" i="6" s="1"/>
  <c r="D257" i="9"/>
  <c r="N26" i="5"/>
  <c r="D5" i="8"/>
  <c r="U579" i="8" s="1"/>
  <c r="P579" i="8" s="1"/>
  <c r="R579" i="8" s="1"/>
  <c r="W286" i="8"/>
  <c r="W588" i="8"/>
  <c r="W568" i="8"/>
  <c r="W579" i="8"/>
  <c r="W559" i="8"/>
  <c r="W338" i="8"/>
  <c r="W347" i="8"/>
  <c r="F46" i="3" l="1"/>
  <c r="E16" i="58" s="1"/>
  <c r="D258" i="9"/>
  <c r="H9" i="43"/>
  <c r="H11" i="43" s="1"/>
  <c r="U87" i="8"/>
  <c r="P87" i="8" s="1"/>
  <c r="R87" i="8" s="1"/>
  <c r="U178" i="8"/>
  <c r="P178" i="8" s="1"/>
  <c r="R178" i="8" s="1"/>
  <c r="U286" i="8"/>
  <c r="P286" i="8" s="1"/>
  <c r="R286" i="8" s="1"/>
  <c r="U157" i="8"/>
  <c r="P157" i="8" s="1"/>
  <c r="R157" i="8" s="1"/>
  <c r="U60" i="8"/>
  <c r="P60" i="8" s="1"/>
  <c r="R60" i="8" s="1"/>
  <c r="U70" i="8"/>
  <c r="P70" i="8" s="1"/>
  <c r="R70" i="8" s="1"/>
  <c r="Q579" i="8"/>
  <c r="S579" i="8" s="1"/>
  <c r="T579" i="8" s="1"/>
  <c r="U588" i="8"/>
  <c r="P588" i="8" s="1"/>
  <c r="R588" i="8" s="1"/>
  <c r="U559" i="8"/>
  <c r="P559" i="8" s="1"/>
  <c r="R559" i="8" s="1"/>
  <c r="U126" i="8"/>
  <c r="P126" i="8" s="1"/>
  <c r="R126" i="8" s="1"/>
  <c r="U568" i="8"/>
  <c r="P568" i="8" s="1"/>
  <c r="R568" i="8" s="1"/>
  <c r="U147" i="8"/>
  <c r="P147" i="8" s="1"/>
  <c r="R147" i="8" s="1"/>
  <c r="U136" i="8"/>
  <c r="P136" i="8" s="1"/>
  <c r="R136" i="8" s="1"/>
  <c r="U347" i="8"/>
  <c r="P347" i="8" s="1"/>
  <c r="R347" i="8" s="1"/>
  <c r="U97" i="8"/>
  <c r="P97" i="8" s="1"/>
  <c r="R97" i="8" s="1"/>
  <c r="U338" i="8"/>
  <c r="P338" i="8" s="1"/>
  <c r="R338" i="8" s="1"/>
  <c r="C121" i="7"/>
  <c r="C64" i="7"/>
  <c r="Y568" i="8"/>
  <c r="Z568" i="8" s="1"/>
  <c r="Y588" i="8"/>
  <c r="Z588" i="8" s="1"/>
  <c r="Y286" i="8"/>
  <c r="Z286" i="8" s="1"/>
  <c r="Y579" i="8"/>
  <c r="Z579" i="8" s="1"/>
  <c r="Y347" i="8"/>
  <c r="Z347" i="8" s="1"/>
  <c r="Y338" i="8"/>
  <c r="Z338" i="8" s="1"/>
  <c r="Y559" i="8"/>
  <c r="Z559" i="8" s="1"/>
  <c r="F47" i="3"/>
  <c r="E17" i="58" a="1"/>
  <c r="Q286" i="8" l="1"/>
  <c r="S286" i="8" s="1"/>
  <c r="T286" i="8" s="1"/>
  <c r="Q178" i="8"/>
  <c r="S178" i="8" s="1"/>
  <c r="T178" i="8" s="1"/>
  <c r="Q70" i="8"/>
  <c r="S70" i="8" s="1"/>
  <c r="T70" i="8" s="1"/>
  <c r="Q157" i="8"/>
  <c r="S157" i="8" s="1"/>
  <c r="T157" i="8" s="1"/>
  <c r="Q60" i="8"/>
  <c r="S60" i="8" s="1"/>
  <c r="T60" i="8" s="1"/>
  <c r="Q87" i="8"/>
  <c r="S87" i="8" s="1"/>
  <c r="T87" i="8" s="1"/>
  <c r="Q51" i="8" s="1"/>
  <c r="Q559" i="8"/>
  <c r="S559" i="8" s="1"/>
  <c r="T559" i="8" s="1"/>
  <c r="Q588" i="8"/>
  <c r="S588" i="8" s="1"/>
  <c r="T588" i="8" s="1"/>
  <c r="Q126" i="8"/>
  <c r="S126" i="8" s="1"/>
  <c r="T126" i="8" s="1"/>
  <c r="Q147" i="8"/>
  <c r="S147" i="8" s="1"/>
  <c r="T147" i="8" s="1"/>
  <c r="Q136" i="8"/>
  <c r="S136" i="8" s="1"/>
  <c r="T136" i="8" s="1"/>
  <c r="E143" i="7"/>
  <c r="E155" i="7" s="1"/>
  <c r="E157" i="7" s="1"/>
  <c r="Q97" i="8"/>
  <c r="S97" i="8" s="1"/>
  <c r="T97" i="8" s="1"/>
  <c r="Q53" i="8" s="1"/>
  <c r="Q568" i="8"/>
  <c r="S568" i="8" s="1"/>
  <c r="T568" i="8" s="1"/>
  <c r="D143" i="7"/>
  <c r="D155" i="7" s="1"/>
  <c r="D156" i="7" s="1"/>
  <c r="Q338" i="8"/>
  <c r="S338" i="8" s="1"/>
  <c r="T338" i="8" s="1"/>
  <c r="C143" i="7"/>
  <c r="C155" i="7" s="1"/>
  <c r="C156" i="7" s="1"/>
  <c r="Q347" i="8"/>
  <c r="S347" i="8" s="1"/>
  <c r="T347" i="8" s="1"/>
  <c r="C124" i="7"/>
  <c r="E17" i="58"/>
  <c r="E156" i="7" l="1"/>
  <c r="D157" i="7"/>
  <c r="C157" i="7"/>
  <c r="C158" i="7" s="1"/>
  <c r="Q54" i="8"/>
  <c r="Q52" i="8" s="1"/>
  <c r="E6" i="8"/>
  <c r="D158" i="7" l="1"/>
  <c r="E158" i="7" s="1"/>
  <c r="D160" i="7" s="1"/>
  <c r="F12" i="85"/>
  <c r="AA276" i="8"/>
  <c r="V276" i="8" s="1"/>
  <c r="X276" i="8" s="1"/>
  <c r="AA296" i="8"/>
  <c r="U230" i="8"/>
  <c r="P230" i="8" s="1"/>
  <c r="R230" i="8" s="1"/>
  <c r="U49" i="8"/>
  <c r="P49" i="8" s="1"/>
  <c r="R49" i="8" s="1"/>
  <c r="AA230" i="8"/>
  <c r="V230" i="8" s="1"/>
  <c r="X230" i="8" s="1"/>
  <c r="U220" i="8"/>
  <c r="P220" i="8" s="1"/>
  <c r="R220" i="8" s="1"/>
  <c r="AA49" i="8"/>
  <c r="V49" i="8" s="1"/>
  <c r="X49" i="8" s="1"/>
  <c r="AA39" i="8"/>
  <c r="V39" i="8" s="1"/>
  <c r="X39" i="8" s="1"/>
  <c r="AA220" i="8"/>
  <c r="V220" i="8" s="1"/>
  <c r="X220" i="8" s="1"/>
  <c r="AA29" i="8"/>
  <c r="V29" i="8" s="1"/>
  <c r="X29" i="8" s="1"/>
  <c r="U29" i="8"/>
  <c r="U39" i="8"/>
  <c r="P39" i="8" s="1"/>
  <c r="R39" i="8" s="1"/>
  <c r="AA20" i="8"/>
  <c r="W27" i="5"/>
  <c r="D161" i="7" l="1"/>
  <c r="D162" i="7"/>
  <c r="J12" i="43" s="1"/>
  <c r="AF41" i="5"/>
  <c r="AA22" i="5" s="1"/>
  <c r="AC63" i="5"/>
  <c r="O44" i="5" s="1"/>
  <c r="F20" i="26" s="1"/>
  <c r="AC62" i="5"/>
  <c r="W220" i="8"/>
  <c r="W230" i="8"/>
  <c r="W29" i="8"/>
  <c r="Q220" i="8"/>
  <c r="Q230" i="8"/>
  <c r="Q49" i="8"/>
  <c r="W49" i="8"/>
  <c r="V20" i="8"/>
  <c r="X20" i="8" s="1"/>
  <c r="W276" i="8"/>
  <c r="Y276" i="8" s="1"/>
  <c r="W39" i="8"/>
  <c r="Q39" i="8"/>
  <c r="AF35" i="5"/>
  <c r="AA8" i="5" s="1"/>
  <c r="AF36" i="5"/>
  <c r="AA9" i="5" s="1"/>
  <c r="AF38" i="5"/>
  <c r="AA15" i="5" s="1"/>
  <c r="AF40" i="5"/>
  <c r="AA19" i="5" s="1"/>
  <c r="AF39" i="5"/>
  <c r="AA18" i="5" s="1"/>
  <c r="AF33" i="5"/>
  <c r="AA5" i="5" s="1"/>
  <c r="AF34" i="5"/>
  <c r="AA6" i="5" s="1"/>
  <c r="AF37" i="5"/>
  <c r="AA14" i="5" s="1"/>
  <c r="P29" i="8"/>
  <c r="R29" i="8" s="1"/>
  <c r="G12" i="43" l="1"/>
  <c r="F12" i="43"/>
  <c r="H12" i="43"/>
  <c r="H10" i="43" s="1"/>
  <c r="H13" i="43" s="1"/>
  <c r="S220" i="8"/>
  <c r="T220" i="8" s="1"/>
  <c r="Y230" i="8"/>
  <c r="Z230" i="8" s="1"/>
  <c r="Y220" i="8"/>
  <c r="Z220" i="8" s="1"/>
  <c r="Y49" i="8"/>
  <c r="Z49" i="8" s="1"/>
  <c r="Y29" i="8"/>
  <c r="Z29" i="8" s="1"/>
  <c r="S39" i="8"/>
  <c r="T39" i="8" s="1"/>
  <c r="S49" i="8"/>
  <c r="T49" i="8" s="1"/>
  <c r="S230" i="8"/>
  <c r="T230" i="8" s="1"/>
  <c r="Y39" i="8"/>
  <c r="Z39" i="8" s="1"/>
  <c r="O40" i="5"/>
  <c r="F19" i="26" s="1"/>
  <c r="C48" i="26" s="1"/>
  <c r="D20" i="26"/>
  <c r="C20" i="26"/>
  <c r="C49" i="26"/>
  <c r="AR2" i="67"/>
  <c r="W20" i="8"/>
  <c r="Z276" i="8"/>
  <c r="Q29" i="8"/>
  <c r="Y20" i="8" l="1"/>
  <c r="Z20" i="8" s="1"/>
  <c r="S29" i="8"/>
  <c r="T29" i="8" s="1"/>
  <c r="C19" i="26"/>
  <c r="D19" i="26"/>
  <c r="D22" i="26" s="1"/>
  <c r="D23" i="26" s="1"/>
  <c r="D24" i="26" s="1"/>
  <c r="E17" i="23" s="1"/>
  <c r="AQ2" i="67"/>
  <c r="D25" i="26" l="1"/>
  <c r="G13" i="44" s="1"/>
  <c r="E16" i="23"/>
  <c r="E25" i="23" s="1"/>
  <c r="F22" i="6" s="1"/>
  <c r="N27" i="5" s="1"/>
  <c r="F13" i="44"/>
  <c r="F17" i="44" s="1"/>
  <c r="D26" i="26" l="1"/>
  <c r="G17" i="23" s="1"/>
  <c r="G16" i="23" s="1"/>
  <c r="G25" i="23" s="1"/>
  <c r="F17" i="23"/>
  <c r="F16" i="23" s="1"/>
  <c r="F25" i="23" s="1"/>
  <c r="E26" i="23"/>
  <c r="D6" i="8"/>
  <c r="U296" i="8" s="1"/>
  <c r="E9" i="85"/>
  <c r="G17" i="44"/>
  <c r="H13" i="44" l="1"/>
  <c r="H17" i="44" s="1"/>
  <c r="G22" i="6"/>
  <c r="F26" i="23"/>
  <c r="U20" i="8"/>
  <c r="P20" i="8" s="1"/>
  <c r="R20" i="8" s="1"/>
  <c r="U276" i="8"/>
  <c r="P296" i="8"/>
  <c r="R296" i="8" s="1"/>
  <c r="C7" i="7"/>
  <c r="G26" i="23"/>
  <c r="H22" i="6"/>
  <c r="G9" i="85"/>
  <c r="V296" i="8"/>
  <c r="X296" i="8" s="1"/>
  <c r="Q20" i="8" l="1"/>
  <c r="P276" i="8"/>
  <c r="R276" i="8" s="1"/>
  <c r="C65" i="7"/>
  <c r="W296" i="8"/>
  <c r="C169" i="7"/>
  <c r="E16" i="48"/>
  <c r="Q296" i="8"/>
  <c r="S296" i="8" s="1"/>
  <c r="E17" i="48" a="1"/>
  <c r="Y296" i="8" l="1"/>
  <c r="Z296" i="8" s="1"/>
  <c r="S20" i="8"/>
  <c r="T20" i="8" s="1"/>
  <c r="C23" i="6" s="1"/>
  <c r="F23" i="6" s="1"/>
  <c r="T296" i="8"/>
  <c r="E17" i="48"/>
  <c r="Q276" i="8"/>
  <c r="S276" i="8" s="1"/>
  <c r="D211" i="7"/>
  <c r="E192" i="7"/>
  <c r="E204" i="7" s="1"/>
  <c r="D192" i="7"/>
  <c r="D204" i="7" s="1"/>
  <c r="C173" i="7"/>
  <c r="C192" i="7"/>
  <c r="C204" i="7" s="1"/>
  <c r="H23" i="6" l="1"/>
  <c r="C66" i="7" s="1"/>
  <c r="C69" i="7" s="1"/>
  <c r="C91" i="7" s="1"/>
  <c r="C103" i="7" s="1"/>
  <c r="C104" i="7" s="1"/>
  <c r="E10" i="85"/>
  <c r="G10" i="85" s="1"/>
  <c r="T276" i="8"/>
  <c r="D205" i="7"/>
  <c r="D206" i="7"/>
  <c r="E206" i="7"/>
  <c r="E205" i="7"/>
  <c r="C206" i="7"/>
  <c r="C207" i="7" s="1"/>
  <c r="C205" i="7"/>
  <c r="J18" i="44"/>
  <c r="F27" i="26"/>
  <c r="C105" i="7" l="1"/>
  <c r="C106" i="7" s="1"/>
  <c r="D91" i="7"/>
  <c r="D103" i="7" s="1"/>
  <c r="D104" i="7" s="1"/>
  <c r="E91" i="7"/>
  <c r="E103" i="7" s="1"/>
  <c r="E104" i="7" s="1"/>
  <c r="C72" i="7"/>
  <c r="H31" i="6" s="1"/>
  <c r="F31" i="6" s="1"/>
  <c r="G31" i="6" s="1"/>
  <c r="D207" i="7"/>
  <c r="E207" i="7" s="1"/>
  <c r="D209" i="7" s="1"/>
  <c r="D210" i="7" s="1"/>
  <c r="AZ2" i="67"/>
  <c r="C56" i="26"/>
  <c r="C27" i="26"/>
  <c r="D27" i="26"/>
  <c r="D28" i="26" s="1"/>
  <c r="F18" i="44"/>
  <c r="F16" i="44" s="1"/>
  <c r="F19" i="44" s="1"/>
  <c r="G18" i="44"/>
  <c r="G16" i="44" s="1"/>
  <c r="H18" i="44"/>
  <c r="H16" i="44" s="1"/>
  <c r="H19" i="44" s="1"/>
  <c r="D105" i="7" l="1"/>
  <c r="D106" i="7" s="1"/>
  <c r="E105" i="7"/>
  <c r="E106" i="7" l="1"/>
  <c r="D108" i="7" s="1"/>
  <c r="I50" i="7" s="1"/>
  <c r="I106" i="7" l="1"/>
  <c r="H32" i="6" s="1"/>
  <c r="F32" i="6" s="1"/>
  <c r="G32" i="6" s="1"/>
  <c r="D109" i="7"/>
  <c r="D110" i="7"/>
  <c r="H30" i="6"/>
  <c r="F30" i="6" s="1"/>
  <c r="F33" i="6" s="1"/>
  <c r="F34" i="6" s="1"/>
  <c r="F230" i="9" l="1"/>
  <c r="F114" i="9"/>
  <c r="F172" i="9"/>
  <c r="F201" i="9"/>
  <c r="F85" i="9"/>
  <c r="F143" i="9"/>
  <c r="F27" i="9"/>
  <c r="F56" i="9"/>
  <c r="G30" i="6"/>
  <c r="G33" i="6" s="1"/>
  <c r="G34" i="6" s="1"/>
  <c r="H33" i="6"/>
  <c r="H34" i="6" s="1"/>
  <c r="E16" i="2" s="1"/>
  <c r="M33" i="5"/>
  <c r="E17" i="2" a="1"/>
  <c r="J595" i="13" l="1"/>
  <c r="M595" i="13"/>
  <c r="M596" i="13" s="1"/>
  <c r="M237" i="10" s="1"/>
  <c r="R237" i="10" s="1"/>
  <c r="J616" i="13"/>
  <c r="M616" i="13"/>
  <c r="M617" i="13" s="1"/>
  <c r="M239" i="10" s="1"/>
  <c r="R239" i="10" s="1"/>
  <c r="J637" i="13"/>
  <c r="M637" i="13"/>
  <c r="M638" i="13" s="1"/>
  <c r="M242" i="10" s="1"/>
  <c r="R242" i="10" s="1"/>
  <c r="J574" i="13"/>
  <c r="M574" i="13"/>
  <c r="M575" i="13" s="1"/>
  <c r="M227" i="10" s="1"/>
  <c r="R227" i="10" s="1"/>
  <c r="J553" i="13"/>
  <c r="M553" i="13"/>
  <c r="M554" i="13" s="1"/>
  <c r="M216" i="10" s="1"/>
  <c r="R216" i="10" s="1"/>
  <c r="J472" i="13"/>
  <c r="M472" i="13"/>
  <c r="M473" i="13" s="1"/>
  <c r="M198" i="10" s="1"/>
  <c r="R198" i="10" s="1"/>
  <c r="J451" i="13"/>
  <c r="M451" i="13"/>
  <c r="M452" i="13" s="1"/>
  <c r="M175" i="10" s="1"/>
  <c r="R175" i="10" s="1"/>
  <c r="J429" i="13"/>
  <c r="M429" i="13"/>
  <c r="M430" i="13" s="1"/>
  <c r="M173" i="10" s="1"/>
  <c r="R173" i="10" s="1"/>
  <c r="J406" i="13"/>
  <c r="M406" i="13"/>
  <c r="M407" i="13" s="1"/>
  <c r="M164" i="10" s="1"/>
  <c r="R164" i="10" s="1"/>
  <c r="J322" i="13"/>
  <c r="M322" i="13"/>
  <c r="M323" i="13" s="1"/>
  <c r="M132" i="10" s="1"/>
  <c r="R132" i="10" s="1"/>
  <c r="J238" i="13"/>
  <c r="M238" i="13"/>
  <c r="M239" i="13" s="1"/>
  <c r="M99" i="10" s="1"/>
  <c r="R99" i="10" s="1"/>
  <c r="J215" i="13"/>
  <c r="M215" i="13"/>
  <c r="M216" i="13" s="1"/>
  <c r="M94" i="10" s="1"/>
  <c r="R94" i="10" s="1"/>
  <c r="J1121" i="13"/>
  <c r="M1121" i="13"/>
  <c r="M1122" i="13" s="1"/>
  <c r="M329" i="10" s="1"/>
  <c r="R329" i="10" s="1"/>
  <c r="J1102" i="13"/>
  <c r="M1102" i="13"/>
  <c r="M1103" i="13" s="1"/>
  <c r="M328" i="10" s="1"/>
  <c r="R328" i="10" s="1"/>
  <c r="J1085" i="13"/>
  <c r="M1085" i="13"/>
  <c r="M1086" i="13" s="1"/>
  <c r="M327" i="10" s="1"/>
  <c r="R327" i="10" s="1"/>
  <c r="J1068" i="13"/>
  <c r="M1068" i="13"/>
  <c r="M1069" i="13" s="1"/>
  <c r="M326" i="10" s="1"/>
  <c r="R326" i="10" s="1"/>
  <c r="J1051" i="13"/>
  <c r="M1051" i="13"/>
  <c r="M1052" i="13" s="1"/>
  <c r="M325" i="10" s="1"/>
  <c r="R325" i="10" s="1"/>
  <c r="J1034" i="13"/>
  <c r="M1034" i="13"/>
  <c r="M1035" i="13" s="1"/>
  <c r="M324" i="10" s="1"/>
  <c r="R324" i="10" s="1"/>
  <c r="J1017" i="13"/>
  <c r="M1017" i="13"/>
  <c r="M1018" i="13" s="1"/>
  <c r="M323" i="10" s="1"/>
  <c r="R323" i="10" s="1"/>
  <c r="J1000" i="13"/>
  <c r="M1000" i="13"/>
  <c r="M1001" i="13" s="1"/>
  <c r="M322" i="10" s="1"/>
  <c r="R322" i="10" s="1"/>
  <c r="J983" i="13"/>
  <c r="M983" i="13"/>
  <c r="M984" i="13" s="1"/>
  <c r="M321" i="10" s="1"/>
  <c r="R321" i="10" s="1"/>
  <c r="J966" i="13"/>
  <c r="M966" i="13"/>
  <c r="M967" i="13" s="1"/>
  <c r="M320" i="10" s="1"/>
  <c r="R320" i="10" s="1"/>
  <c r="J949" i="13"/>
  <c r="M949" i="13"/>
  <c r="M950" i="13" s="1"/>
  <c r="M319" i="10" s="1"/>
  <c r="R319" i="10" s="1"/>
  <c r="J931" i="13"/>
  <c r="M931" i="13"/>
  <c r="M932" i="13" s="1"/>
  <c r="M318" i="10" s="1"/>
  <c r="R318" i="10" s="1"/>
  <c r="J913" i="13"/>
  <c r="M913" i="13"/>
  <c r="M914" i="13" s="1"/>
  <c r="M316" i="10" s="1"/>
  <c r="R316" i="10" s="1"/>
  <c r="J896" i="13"/>
  <c r="M896" i="13"/>
  <c r="M897" i="13" s="1"/>
  <c r="M315" i="10" s="1"/>
  <c r="R315" i="10" s="1"/>
  <c r="J879" i="13"/>
  <c r="M879" i="13"/>
  <c r="M880" i="13" s="1"/>
  <c r="M314" i="10" s="1"/>
  <c r="R314" i="10" s="1"/>
  <c r="J862" i="13"/>
  <c r="M862" i="13"/>
  <c r="M863" i="13" s="1"/>
  <c r="M313" i="10" s="1"/>
  <c r="R313" i="10" s="1"/>
  <c r="J845" i="13"/>
  <c r="M845" i="13"/>
  <c r="M846" i="13" s="1"/>
  <c r="M312" i="10" s="1"/>
  <c r="R312" i="10" s="1"/>
  <c r="J825" i="13"/>
  <c r="M825" i="13"/>
  <c r="M826" i="13" s="1"/>
  <c r="M305" i="10" s="1"/>
  <c r="R305" i="10" s="1"/>
  <c r="J805" i="13"/>
  <c r="M805" i="13"/>
  <c r="M806" i="13" s="1"/>
  <c r="M300" i="10" s="1"/>
  <c r="R300" i="10" s="1"/>
  <c r="J781" i="13"/>
  <c r="M781" i="13"/>
  <c r="M782" i="13" s="1"/>
  <c r="M298" i="10" s="1"/>
  <c r="R298" i="10" s="1"/>
  <c r="J766" i="13"/>
  <c r="M766" i="13"/>
  <c r="M767" i="13" s="1"/>
  <c r="M296" i="10" s="1"/>
  <c r="R296" i="10" s="1"/>
  <c r="J751" i="13"/>
  <c r="M751" i="13"/>
  <c r="M752" i="13" s="1"/>
  <c r="M294" i="10" s="1"/>
  <c r="R294" i="10" s="1"/>
  <c r="J736" i="13"/>
  <c r="M736" i="13"/>
  <c r="M737" i="13" s="1"/>
  <c r="M291" i="10" s="1"/>
  <c r="R291" i="10" s="1"/>
  <c r="J720" i="13"/>
  <c r="M720" i="13"/>
  <c r="M721" i="13" s="1"/>
  <c r="M275" i="10" s="1"/>
  <c r="R275" i="10" s="1"/>
  <c r="J697" i="13"/>
  <c r="M697" i="13"/>
  <c r="M698" i="13" s="1"/>
  <c r="M267" i="10" s="1"/>
  <c r="R267" i="10" s="1"/>
  <c r="J673" i="13"/>
  <c r="M673" i="13"/>
  <c r="M674" i="13" s="1"/>
  <c r="M260" i="10" s="1"/>
  <c r="R260" i="10" s="1"/>
  <c r="J655" i="13"/>
  <c r="M655" i="13"/>
  <c r="M656" i="13" s="1"/>
  <c r="M255" i="10" s="1"/>
  <c r="R255" i="10" s="1"/>
  <c r="J531" i="13"/>
  <c r="M531" i="13"/>
  <c r="M532" i="13" s="1"/>
  <c r="M211" i="10" s="1"/>
  <c r="R211" i="10" s="1"/>
  <c r="J514" i="13"/>
  <c r="M514" i="13"/>
  <c r="M515" i="13" s="1"/>
  <c r="M210" i="10" s="1"/>
  <c r="R210" i="10" s="1"/>
  <c r="J492" i="13"/>
  <c r="M492" i="13"/>
  <c r="M493" i="13" s="1"/>
  <c r="M208" i="10" s="1"/>
  <c r="R208" i="10" s="1"/>
  <c r="J382" i="13"/>
  <c r="M382" i="13"/>
  <c r="M383" i="13" s="1"/>
  <c r="M160" i="10" s="1"/>
  <c r="R160" i="10" s="1"/>
  <c r="J361" i="13"/>
  <c r="M361" i="13"/>
  <c r="M362" i="13" s="1"/>
  <c r="M156" i="10" s="1"/>
  <c r="R156" i="10" s="1"/>
  <c r="J342" i="13"/>
  <c r="M342" i="13"/>
  <c r="M343" i="13" s="1"/>
  <c r="M144" i="10" s="1"/>
  <c r="R144" i="10" s="1"/>
  <c r="J299" i="13"/>
  <c r="M299" i="13"/>
  <c r="M300" i="13" s="1"/>
  <c r="M127" i="10" s="1"/>
  <c r="R127" i="10" s="1"/>
  <c r="J278" i="13"/>
  <c r="M278" i="13"/>
  <c r="M279" i="13" s="1"/>
  <c r="M122" i="10" s="1"/>
  <c r="R122" i="10" s="1"/>
  <c r="J259" i="13"/>
  <c r="M259" i="13"/>
  <c r="M260" i="13" s="1"/>
  <c r="M106" i="10" s="1"/>
  <c r="R106" i="10" s="1"/>
  <c r="J192" i="13"/>
  <c r="M192" i="13"/>
  <c r="M193" i="13" s="1"/>
  <c r="M91" i="10" s="1"/>
  <c r="R91" i="10" s="1"/>
  <c r="J171" i="13"/>
  <c r="M171" i="13"/>
  <c r="M172" i="13" s="1"/>
  <c r="M88" i="10" s="1"/>
  <c r="R88" i="10" s="1"/>
  <c r="J152" i="13"/>
  <c r="M152" i="13"/>
  <c r="M153" i="13" s="1"/>
  <c r="M82" i="10" s="1"/>
  <c r="R82" i="10" s="1"/>
  <c r="J132" i="13"/>
  <c r="M132" i="13"/>
  <c r="M133" i="13" s="1"/>
  <c r="M77" i="10" s="1"/>
  <c r="R77" i="10" s="1"/>
  <c r="J110" i="13"/>
  <c r="M110" i="13"/>
  <c r="M111" i="13" s="1"/>
  <c r="M66" i="10" s="1"/>
  <c r="R66" i="10" s="1"/>
  <c r="J87" i="13"/>
  <c r="M87" i="13"/>
  <c r="M88" i="13" s="1"/>
  <c r="M53" i="10" s="1"/>
  <c r="R53" i="10" s="1"/>
  <c r="J68" i="13"/>
  <c r="M68" i="13"/>
  <c r="M69" i="13" s="1"/>
  <c r="M47" i="10" s="1"/>
  <c r="R47" i="10" s="1"/>
  <c r="J54" i="13"/>
  <c r="M54" i="13"/>
  <c r="M55" i="13" s="1"/>
  <c r="M40" i="10" s="1"/>
  <c r="R40" i="10" s="1"/>
  <c r="J38" i="13"/>
  <c r="M38" i="13"/>
  <c r="M39" i="13" s="1"/>
  <c r="M20" i="10" s="1"/>
  <c r="R20" i="10" s="1"/>
  <c r="J22" i="13"/>
  <c r="M22" i="13"/>
  <c r="M23" i="13" s="1"/>
  <c r="M10" i="10" s="1"/>
  <c r="R10" i="10" s="1"/>
  <c r="D230" i="9"/>
  <c r="D231" i="9" s="1"/>
  <c r="D172" i="9"/>
  <c r="D173" i="9" s="1"/>
  <c r="D85" i="9"/>
  <c r="D86" i="9" s="1"/>
  <c r="AM2" i="67"/>
  <c r="C230" i="9"/>
  <c r="D114" i="9"/>
  <c r="D115" i="9" s="1"/>
  <c r="C114" i="9"/>
  <c r="D201" i="9"/>
  <c r="D202" i="9" s="1"/>
  <c r="C201" i="9"/>
  <c r="C172" i="9"/>
  <c r="C85" i="9"/>
  <c r="D143" i="9"/>
  <c r="D144" i="9" s="1"/>
  <c r="C143" i="9"/>
  <c r="D27" i="9"/>
  <c r="C259" i="9"/>
  <c r="D56" i="9"/>
  <c r="D57" i="9" s="1"/>
  <c r="C56" i="9"/>
  <c r="C27" i="9"/>
  <c r="E17" i="2"/>
  <c r="D8" i="8"/>
  <c r="E8" i="8" s="1"/>
  <c r="I106" i="84"/>
  <c r="I105" i="84" s="1"/>
  <c r="K121" i="84"/>
  <c r="K106" i="84" s="1"/>
  <c r="K105" i="84" s="1"/>
  <c r="G12" i="85" s="1"/>
  <c r="R331" i="10" l="1"/>
  <c r="R310" i="10"/>
  <c r="R289" i="10"/>
  <c r="R214" i="10"/>
  <c r="R206" i="10"/>
  <c r="R171" i="10"/>
  <c r="R103" i="10"/>
  <c r="R64" i="10"/>
  <c r="D259" i="9"/>
  <c r="D28" i="9"/>
  <c r="D260" i="9" s="1"/>
  <c r="U312" i="8"/>
  <c r="P312" i="8" s="1"/>
  <c r="R312" i="8" s="1"/>
  <c r="U599" i="8"/>
  <c r="U331" i="8"/>
  <c r="P331" i="8" s="1"/>
  <c r="R331" i="8" s="1"/>
  <c r="K101" i="84"/>
  <c r="I54" i="84"/>
  <c r="C9" i="7"/>
  <c r="E12" i="85"/>
  <c r="AA312" i="8"/>
  <c r="AA599" i="8"/>
  <c r="AA331" i="8"/>
  <c r="R332" i="10" l="1"/>
  <c r="Q312" i="8"/>
  <c r="S312" i="8" s="1"/>
  <c r="T312" i="8" s="1"/>
  <c r="Q331" i="8"/>
  <c r="S331" i="8" s="1"/>
  <c r="T331" i="8" s="1"/>
  <c r="P599" i="8"/>
  <c r="R599" i="8" s="1"/>
  <c r="V331" i="8"/>
  <c r="X331" i="8" s="1"/>
  <c r="C8" i="7"/>
  <c r="C10" i="7" s="1"/>
  <c r="E11" i="85"/>
  <c r="V312" i="8"/>
  <c r="X312" i="8" s="1"/>
  <c r="V599" i="8"/>
  <c r="X599" i="8" s="1"/>
  <c r="J101" i="84"/>
  <c r="K54" i="84"/>
  <c r="Q599" i="8" l="1"/>
  <c r="S599" i="8" s="1"/>
  <c r="T599" i="8" s="1"/>
  <c r="W312" i="8"/>
  <c r="Y312" i="8" s="1"/>
  <c r="Z312" i="8" s="1"/>
  <c r="W599" i="8"/>
  <c r="Y599" i="8" s="1"/>
  <c r="Z599" i="8" s="1"/>
  <c r="W331" i="8"/>
  <c r="Y331" i="8" s="1"/>
  <c r="Z331" i="8" s="1"/>
  <c r="J54" i="84"/>
  <c r="E34" i="7"/>
  <c r="E47" i="7" s="1"/>
  <c r="C34" i="7"/>
  <c r="C47" i="7" s="1"/>
  <c r="D34" i="7"/>
  <c r="D47" i="7" s="1"/>
  <c r="C15" i="7"/>
  <c r="G11" i="85"/>
  <c r="C49" i="7" l="1"/>
  <c r="C50" i="7" s="1"/>
  <c r="C48" i="7"/>
  <c r="I145" i="84"/>
  <c r="F11" i="85"/>
  <c r="E49" i="7"/>
  <c r="E48" i="7"/>
  <c r="D49" i="7"/>
  <c r="D48" i="7"/>
  <c r="K145" i="84" l="1"/>
  <c r="D50" i="7"/>
  <c r="E50" i="7" s="1"/>
  <c r="D52" i="7" s="1"/>
  <c r="D53" i="7" l="1"/>
  <c r="D54" i="7"/>
  <c r="E51" i="7"/>
  <c r="I146" i="84" s="1"/>
  <c r="G13" i="85"/>
  <c r="G15" i="85" s="1"/>
  <c r="F22" i="82" s="1"/>
  <c r="J145" i="84"/>
  <c r="C23" i="82"/>
  <c r="K146" i="84" l="1"/>
  <c r="I144" i="84"/>
  <c r="F13" i="85"/>
  <c r="F15" i="85" s="1"/>
  <c r="E13" i="85" l="1"/>
  <c r="E15" i="85" s="1"/>
  <c r="I147" i="84"/>
  <c r="J146" i="84"/>
  <c r="J144" i="84" s="1"/>
  <c r="J147" i="84" s="1"/>
  <c r="K144" i="84"/>
  <c r="K147" i="84" s="1"/>
</calcChain>
</file>

<file path=xl/comments1.xml><?xml version="1.0" encoding="utf-8"?>
<comments xmlns="http://schemas.openxmlformats.org/spreadsheetml/2006/main">
  <authors>
    <author>The Anh Nguyen</author>
  </authors>
  <commentList>
    <comment ref="A1" authorId="0" shapeId="0">
      <text>
        <r>
          <rPr>
            <sz val="9"/>
            <color indexed="81"/>
            <rFont val="Tahoma"/>
            <family val="2"/>
          </rPr>
          <t>Người sử dụng không rành xin không chỉnh sửa gì ở đây.</t>
        </r>
      </text>
    </comment>
  </commentList>
</comments>
</file>

<file path=xl/comments2.xml><?xml version="1.0" encoding="utf-8"?>
<comments xmlns="http://schemas.openxmlformats.org/spreadsheetml/2006/main">
  <authors>
    <author>LEO</author>
    <author>Nguyễn Thế Anh</author>
    <author>Windows User</author>
  </authors>
  <commentList>
    <comment ref="A1" authorId="0" shapeId="0">
      <text>
        <r>
          <rPr>
            <sz val="12"/>
            <color indexed="81"/>
            <rFont val="Tahoma"/>
            <family val="2"/>
          </rPr>
          <t>Cập nhật: 17.05.2024</t>
        </r>
      </text>
    </comment>
    <comment ref="P24" authorId="1" shapeId="0">
      <text>
        <r>
          <rPr>
            <sz val="11"/>
            <color indexed="81"/>
            <rFont val="Tahoma"/>
            <family val="2"/>
          </rPr>
          <t>Sử dụng đối với trường hợp Chi phí chung tính trên chi phí nhân công</t>
        </r>
      </text>
    </comment>
    <comment ref="M26" authorId="2" shapeId="0">
      <text>
        <r>
          <rPr>
            <sz val="12"/>
            <color indexed="81"/>
            <rFont val="Tahoma"/>
            <family val="2"/>
          </rPr>
          <t>Nhập giá trị Chi phí xây dựng trước thuế trong tổng mức đầu tư của dự án được duyệt để phần mềm tự động xác định tỷ lệ chi phí chung</t>
        </r>
      </text>
    </comment>
    <comment ref="H32" authorId="1" shapeId="0">
      <text>
        <r>
          <rPr>
            <sz val="12"/>
            <color indexed="81"/>
            <rFont val="Tahoma"/>
            <family val="2"/>
          </rPr>
          <t>Giá trị quyết toán/cần thuê kiểm toán của dự án, dự án thành phần, tiểu dự án, công trình, hạng mục công trình</t>
        </r>
      </text>
    </comment>
  </commentList>
</comments>
</file>

<file path=xl/comments3.xml><?xml version="1.0" encoding="utf-8"?>
<comments xmlns="http://schemas.openxmlformats.org/spreadsheetml/2006/main">
  <authors>
    <author>LEO</author>
    <author>HT</author>
    <author>Dell</author>
  </authors>
  <commentList>
    <comment ref="A1" authorId="0" shapeId="0">
      <text>
        <r>
          <rPr>
            <b/>
            <sz val="9"/>
            <color indexed="81"/>
            <rFont val="Tahoma"/>
            <family val="2"/>
          </rPr>
          <t>KV1.1</t>
        </r>
      </text>
    </comment>
    <comment ref="D4" authorId="1" shapeId="0">
      <text>
        <r>
          <rPr>
            <b/>
            <sz val="9"/>
            <color indexed="81"/>
            <rFont val="Tahoma"/>
            <family val="2"/>
          </rPr>
          <t>TENCHUHO</t>
        </r>
      </text>
    </comment>
    <comment ref="A8" authorId="0" shapeId="0">
      <text>
        <r>
          <rPr>
            <b/>
            <sz val="9"/>
            <color indexed="81"/>
            <rFont val="Tahoma"/>
            <family val="2"/>
          </rPr>
          <t>BEGIN1</t>
        </r>
      </text>
    </comment>
    <comment ref="D14" authorId="0" shapeId="0">
      <text>
        <r>
          <rPr>
            <sz val="9"/>
            <color indexed="81"/>
            <rFont val="Tahoma"/>
            <family val="2"/>
          </rPr>
          <t>KIENTRUC1</t>
        </r>
      </text>
    </comment>
    <comment ref="D19" authorId="0" shapeId="0">
      <text>
        <r>
          <rPr>
            <sz val="9"/>
            <color indexed="81"/>
            <rFont val="Tahoma"/>
            <family val="2"/>
          </rPr>
          <t>HOAMAU1</t>
        </r>
      </text>
    </comment>
    <comment ref="D24" authorId="2" shapeId="0">
      <text>
        <r>
          <rPr>
            <b/>
            <sz val="9"/>
            <color indexed="81"/>
            <rFont val="Tahoma"/>
            <family val="2"/>
          </rPr>
          <t>HOTRO1</t>
        </r>
      </text>
    </comment>
    <comment ref="A35" authorId="0" shapeId="0">
      <text>
        <r>
          <rPr>
            <b/>
            <sz val="9"/>
            <color indexed="81"/>
            <rFont val="Tahoma"/>
            <family val="2"/>
          </rPr>
          <t>END1</t>
        </r>
      </text>
    </comment>
    <comment ref="A44" authorId="0" shapeId="0">
      <text>
        <r>
          <rPr>
            <b/>
            <sz val="9"/>
            <color indexed="81"/>
            <rFont val="Tahoma"/>
            <family val="2"/>
          </rPr>
          <t>END1</t>
        </r>
      </text>
    </comment>
  </commentList>
</comments>
</file>

<file path=xl/comments4.xml><?xml version="1.0" encoding="utf-8"?>
<comments xmlns="http://schemas.openxmlformats.org/spreadsheetml/2006/main">
  <authors>
    <author>TheAnh</author>
    <author>ADMIN</author>
    <author>HT</author>
    <author>Nguyễn Thế Anh</author>
    <author>Dang Tien Dung</author>
  </authors>
  <commentList>
    <comment ref="C5" authorId="0" shapeId="0">
      <text>
        <r>
          <rPr>
            <b/>
            <sz val="9"/>
            <color indexed="81"/>
            <rFont val="Tahoma"/>
            <family val="2"/>
          </rPr>
          <t>NguyenTheAnh:</t>
        </r>
        <r>
          <rPr>
            <sz val="9"/>
            <color indexed="81"/>
            <rFont val="Tahoma"/>
            <family val="2"/>
          </rPr>
          <t xml:space="preserve">
- Cột này nếu dùng phần mềm Dự án GXD bạn có thể tra suất vốn đầu tư, các loại chi phí tư vấn, chi phí khác
- Nếu bạn dùng phần mềm Excel với bảng tính này thì bạn tự nhập dữ liệu vào bảng</t>
        </r>
      </text>
    </comment>
    <comment ref="A9" authorId="1" shapeId="0">
      <text>
        <r>
          <rPr>
            <b/>
            <sz val="9"/>
            <color indexed="81"/>
            <rFont val="Tahoma"/>
            <family val="2"/>
          </rPr>
          <t>SVDT</t>
        </r>
      </text>
    </comment>
    <comment ref="A10" authorId="2" shapeId="0">
      <text>
        <r>
          <rPr>
            <b/>
            <sz val="9"/>
            <color indexed="81"/>
            <rFont val="Tahoma"/>
            <family val="2"/>
          </rPr>
          <t>SVDT_A</t>
        </r>
      </text>
    </comment>
    <comment ref="A16" authorId="2" shapeId="0">
      <text>
        <r>
          <rPr>
            <b/>
            <sz val="9"/>
            <color indexed="81"/>
            <rFont val="Tahoma"/>
            <family val="2"/>
          </rPr>
          <t>SVDT_B</t>
        </r>
      </text>
    </comment>
    <comment ref="A19" authorId="2" shapeId="0">
      <text>
        <r>
          <rPr>
            <b/>
            <sz val="9"/>
            <color indexed="81"/>
            <rFont val="Tahoma"/>
            <family val="2"/>
          </rPr>
          <t>SVDT_C</t>
        </r>
      </text>
    </comment>
    <comment ref="A20" authorId="1" shapeId="0">
      <text>
        <r>
          <rPr>
            <b/>
            <sz val="9"/>
            <color indexed="81"/>
            <rFont val="Tahoma"/>
            <family val="2"/>
          </rPr>
          <t>SVDT_TB</t>
        </r>
      </text>
    </comment>
    <comment ref="A21" authorId="2" shapeId="0">
      <text>
        <r>
          <rPr>
            <b/>
            <sz val="9"/>
            <color indexed="81"/>
            <rFont val="Tahoma"/>
            <family val="2"/>
          </rPr>
          <t>SVDT_TB_A</t>
        </r>
      </text>
    </comment>
    <comment ref="A26" authorId="2" shapeId="0">
      <text>
        <r>
          <rPr>
            <b/>
            <sz val="9"/>
            <color indexed="81"/>
            <rFont val="Tahoma"/>
            <family val="2"/>
          </rPr>
          <t>SVDT_TB_B</t>
        </r>
      </text>
    </comment>
    <comment ref="A36" authorId="1" shapeId="0">
      <text>
        <r>
          <rPr>
            <b/>
            <sz val="9"/>
            <color indexed="81"/>
            <rFont val="Tahoma"/>
            <family val="2"/>
          </rPr>
          <t>END_SVDT</t>
        </r>
      </text>
    </comment>
    <comment ref="M36" authorId="0" shapeId="0">
      <text>
        <r>
          <rPr>
            <b/>
            <sz val="9"/>
            <color indexed="81"/>
            <rFont val="Tahoma"/>
            <family val="2"/>
          </rPr>
          <t>TheAnh:</t>
        </r>
        <r>
          <rPr>
            <sz val="9"/>
            <color indexed="81"/>
            <rFont val="Tahoma"/>
            <family val="2"/>
          </rPr>
          <t xml:space="preserve">
</t>
        </r>
        <r>
          <rPr>
            <sz val="12"/>
            <color indexed="81"/>
            <rFont val="Tahoma"/>
            <family val="2"/>
          </rPr>
          <t>Điểm c Khoản 2 Điều 5 Nghị định số 10/2021/NĐ-CP</t>
        </r>
      </text>
    </comment>
    <comment ref="A43" authorId="3" shapeId="0">
      <text>
        <r>
          <rPr>
            <b/>
            <sz val="9"/>
            <color indexed="81"/>
            <rFont val="Tahoma"/>
            <family val="2"/>
          </rPr>
          <t>END_QLDA</t>
        </r>
      </text>
    </comment>
    <comment ref="A54" authorId="1" shapeId="0">
      <text>
        <r>
          <rPr>
            <b/>
            <sz val="9"/>
            <color indexed="81"/>
            <rFont val="Tahoma"/>
            <family val="2"/>
          </rPr>
          <t>CPTV</t>
        </r>
      </text>
    </comment>
    <comment ref="M73" authorId="0" shapeId="0">
      <text>
        <r>
          <rPr>
            <sz val="14"/>
            <color indexed="81"/>
            <rFont val="Tahoma"/>
            <family val="2"/>
          </rPr>
          <t>Bảng 2.4, 2.6, 2.8, 2.10, 2.12 lần lượt là định mức TKKT của công trình: DD, CN, GT, NN&amp;PTNT, HT có yêu cầu TK 3 bước</t>
        </r>
      </text>
    </comment>
    <comment ref="M79" authorId="0" shapeId="0">
      <text>
        <r>
          <rPr>
            <sz val="14"/>
            <color indexed="81"/>
            <rFont val="Tahoma"/>
            <family val="2"/>
          </rPr>
          <t>Bảng 2.5, 2.7, 2.9, 2.11, 2.13 lần lượt là định mức BVTC của công trình: DD, CN, GT, NN&amp;PTNT, HT có yêu cầu TK 2 bước</t>
        </r>
      </text>
    </comment>
    <comment ref="A105" authorId="1" shapeId="0">
      <text>
        <r>
          <rPr>
            <b/>
            <sz val="9"/>
            <color indexed="81"/>
            <rFont val="Tahoma"/>
            <family val="2"/>
          </rPr>
          <t>CPK</t>
        </r>
      </text>
    </comment>
    <comment ref="A144" authorId="1" shapeId="0">
      <text>
        <r>
          <rPr>
            <b/>
            <sz val="9"/>
            <color indexed="81"/>
            <rFont val="Tahoma"/>
            <family val="2"/>
          </rPr>
          <t>CP_END</t>
        </r>
      </text>
    </comment>
    <comment ref="O144" authorId="4" shapeId="0">
      <text>
        <r>
          <rPr>
            <b/>
            <sz val="9"/>
            <color indexed="81"/>
            <rFont val="Tahoma"/>
            <family val="2"/>
          </rPr>
          <t>NguyenTheAnh:</t>
        </r>
        <r>
          <rPr>
            <sz val="9"/>
            <color indexed="81"/>
            <rFont val="Tahoma"/>
            <family val="2"/>
          </rPr>
          <t xml:space="preserve">
Định mức xác định các chi phí này nội suy dựa trên giá trị TMĐT. Mà TMĐT lại đang đi xác định. Do thế nếu lập công thức tính các chi phí này có thể bị vòng lặp vô tận trong Excel.
Do đó phải dùng phương pháp nội suy vài lần đúng dần.
1. Xác định TMĐT chưa có giá trị các chi phí này
2. Lấy giá trị TMĐT nói trên nhập lên bên trên để ra các định mức tỷ lệ
3. Xác định các chi phí này theo định mức tỷ lệ vừa nội suy được
4. Lấy giá trị TMĐT mới lặp lại các bước trên 2, 3 lần</t>
        </r>
      </text>
    </comment>
    <comment ref="A148" authorId="2" shapeId="0">
      <text>
        <r>
          <rPr>
            <b/>
            <sz val="9"/>
            <color indexed="81"/>
            <rFont val="Tahoma"/>
            <family val="2"/>
          </rPr>
          <t>END</t>
        </r>
      </text>
    </comment>
  </commentList>
</comments>
</file>

<file path=xl/comments5.xml><?xml version="1.0" encoding="utf-8"?>
<comments xmlns="http://schemas.openxmlformats.org/spreadsheetml/2006/main">
  <authors>
    <author>Nguyễn Thế Anh</author>
  </authors>
  <commentList>
    <comment ref="A311" authorId="0" shapeId="0">
      <text>
        <r>
          <rPr>
            <b/>
            <sz val="9"/>
            <color indexed="81"/>
            <rFont val="Tahoma"/>
            <family val="2"/>
          </rPr>
          <t>Có giá trị lớn hơn ở cột cuối bảng</t>
        </r>
      </text>
    </comment>
    <comment ref="A317" authorId="0" shapeId="0">
      <text>
        <r>
          <rPr>
            <b/>
            <sz val="9"/>
            <color indexed="81"/>
            <rFont val="Tahoma"/>
            <family val="2"/>
          </rPr>
          <t>Có giá trị lớn hơn ở cột cuối bảng</t>
        </r>
      </text>
    </comment>
    <comment ref="A323" authorId="0" shapeId="0">
      <text>
        <r>
          <rPr>
            <b/>
            <sz val="9"/>
            <color indexed="81"/>
            <rFont val="Tahoma"/>
            <family val="2"/>
          </rPr>
          <t>Có giá trị lớn hơn ở cột cuối bảng</t>
        </r>
      </text>
    </comment>
    <comment ref="A330" authorId="0" shapeId="0">
      <text>
        <r>
          <rPr>
            <b/>
            <sz val="9"/>
            <color indexed="81"/>
            <rFont val="Tahoma"/>
            <family val="2"/>
          </rPr>
          <t>Có giá trị lớn hơn ở cột cuối bảng</t>
        </r>
      </text>
    </comment>
    <comment ref="A337" authorId="0" shapeId="0">
      <text>
        <r>
          <rPr>
            <b/>
            <sz val="9"/>
            <color indexed="81"/>
            <rFont val="Tahoma"/>
            <family val="2"/>
          </rPr>
          <t>Có giá trị lớn hơn ở cột cuối bảng</t>
        </r>
      </text>
    </comment>
    <comment ref="A346" authorId="0" shapeId="0">
      <text>
        <r>
          <rPr>
            <b/>
            <sz val="9"/>
            <color indexed="81"/>
            <rFont val="Tahoma"/>
            <family val="2"/>
          </rPr>
          <t>Có giá trị lớn hơn ở cột cuối bảng</t>
        </r>
      </text>
    </comment>
    <comment ref="A356" authorId="0" shapeId="0">
      <text>
        <r>
          <rPr>
            <sz val="12"/>
            <color indexed="81"/>
            <rFont val="Tahoma"/>
            <family val="2"/>
          </rPr>
          <t>Có giá trị lớn hơn ở cột cuối bảng nhưng lại tách ra giá trị cột sát trước</t>
        </r>
      </text>
    </comment>
    <comment ref="A380" authorId="0" shapeId="0">
      <text>
        <r>
          <rPr>
            <sz val="12"/>
            <color indexed="81"/>
            <rFont val="Tahoma"/>
            <family val="2"/>
          </rPr>
          <t>Có giá trị lớn hơn ở cột cuối bảng</t>
        </r>
      </text>
    </comment>
    <comment ref="A393" authorId="0" shapeId="0">
      <text>
        <r>
          <rPr>
            <sz val="12"/>
            <color indexed="81"/>
            <rFont val="Tahoma"/>
            <family val="2"/>
          </rPr>
          <t>Có giá trị lớn hơn ở cột cuối bảng
Không có dấu = với các giá trị ở giữa, đầu đuôi lại có dấu =
Không nội suy</t>
        </r>
      </text>
    </comment>
    <comment ref="A399" authorId="0" shapeId="0">
      <text>
        <r>
          <rPr>
            <b/>
            <sz val="9"/>
            <color indexed="81"/>
            <rFont val="Tahoma"/>
            <family val="2"/>
          </rPr>
          <t>Có giá trị lớn hơn ở cột cuối bảng</t>
        </r>
      </text>
    </comment>
    <comment ref="A417" authorId="0" shapeId="0">
      <text>
        <r>
          <rPr>
            <sz val="12"/>
            <color indexed="81"/>
            <rFont val="Tahoma"/>
            <family val="2"/>
          </rPr>
          <t>Có giá trị lớn hơn ở cột đầu bảng. Không lấy giá trị &lt;16 MVA</t>
        </r>
      </text>
    </comment>
    <comment ref="A598" authorId="0" shapeId="0">
      <text>
        <r>
          <rPr>
            <b/>
            <sz val="9"/>
            <color indexed="81"/>
            <rFont val="Tahoma"/>
            <family val="2"/>
          </rPr>
          <t>Có giá trị lớn hơn ở cột cuối bảng</t>
        </r>
      </text>
    </comment>
  </commentList>
</comments>
</file>

<file path=xl/comments6.xml><?xml version="1.0" encoding="utf-8"?>
<comments xmlns="http://schemas.openxmlformats.org/spreadsheetml/2006/main">
  <authors>
    <author>TheAnh</author>
  </authors>
  <commentList>
    <comment ref="A5" authorId="0" shapeId="0">
      <text>
        <r>
          <rPr>
            <b/>
            <sz val="9"/>
            <color indexed="81"/>
            <rFont val="Tahoma"/>
            <family val="2"/>
          </rPr>
          <t xml:space="preserve">TheAnh: </t>
        </r>
        <r>
          <rPr>
            <sz val="9"/>
            <color indexed="81"/>
            <rFont val="Tahoma"/>
            <family val="2"/>
          </rPr>
          <t xml:space="preserve">Tại cột A khi mở phần mềm Dự toán GXD có thể căn chỉnh dòng cho vừa trang in. Gõ phím </t>
        </r>
        <r>
          <rPr>
            <b/>
            <sz val="9"/>
            <color indexed="81"/>
            <rFont val="Tahoma"/>
            <family val="2"/>
          </rPr>
          <t>m</t>
        </r>
        <r>
          <rPr>
            <sz val="9"/>
            <color indexed="81"/>
            <rFont val="Tahoma"/>
            <family val="2"/>
          </rPr>
          <t>+</t>
        </r>
        <r>
          <rPr>
            <b/>
            <sz val="9"/>
            <color indexed="81"/>
            <rFont val="Tahoma"/>
            <family val="2"/>
          </rPr>
          <t>Enter</t>
        </r>
        <r>
          <rPr>
            <sz val="9"/>
            <color indexed="81"/>
            <rFont val="Tahoma"/>
            <family val="2"/>
          </rPr>
          <t xml:space="preserve"> để Merge dòng sau đó gõ phím </t>
        </r>
        <r>
          <rPr>
            <b/>
            <sz val="9"/>
            <color indexed="81"/>
            <rFont val="Tahoma"/>
            <family val="2"/>
          </rPr>
          <t>w</t>
        </r>
        <r>
          <rPr>
            <sz val="9"/>
            <color indexed="81"/>
            <rFont val="Tahoma"/>
            <family val="2"/>
          </rPr>
          <t>+</t>
        </r>
        <r>
          <rPr>
            <b/>
            <sz val="9"/>
            <color indexed="81"/>
            <rFont val="Tahoma"/>
            <family val="2"/>
          </rPr>
          <t>Enter</t>
        </r>
        <r>
          <rPr>
            <sz val="9"/>
            <color indexed="81"/>
            <rFont val="Tahoma"/>
            <family val="2"/>
          </rPr>
          <t xml:space="preserve"> để wrap text</t>
        </r>
      </text>
    </comment>
    <comment ref="B5" authorId="0" shapeId="0">
      <text>
        <r>
          <rPr>
            <b/>
            <sz val="9"/>
            <color indexed="81"/>
            <rFont val="Tahoma"/>
            <family val="2"/>
          </rPr>
          <t xml:space="preserve">TheAnh: </t>
        </r>
        <r>
          <rPr>
            <sz val="9"/>
            <color indexed="81"/>
            <rFont val="Tahoma"/>
            <family val="2"/>
          </rPr>
          <t>Tại cột B có thể gõ từ khóa của văn bản cần tìm để tra cứu danh mục văn bản</t>
        </r>
      </text>
    </comment>
  </commentList>
</comments>
</file>

<file path=xl/comments7.xml><?xml version="1.0" encoding="utf-8"?>
<comments xmlns="http://schemas.openxmlformats.org/spreadsheetml/2006/main">
  <authors>
    <author>Nguyễn Văn Toàn</author>
  </authors>
  <commentList>
    <comment ref="R2" authorId="0" shapeId="0">
      <text>
        <r>
          <rPr>
            <sz val="9"/>
            <color indexed="81"/>
            <rFont val="Tahoma"/>
            <family val="2"/>
          </rPr>
          <t>Kích chọn thẩm tra hay thẩm định</t>
        </r>
      </text>
    </comment>
  </commentList>
</comments>
</file>

<file path=xl/comments8.xml><?xml version="1.0" encoding="utf-8"?>
<comments xmlns="http://schemas.openxmlformats.org/spreadsheetml/2006/main">
  <authors>
    <author>Nguyễn Văn Toàn</author>
  </authors>
  <commentList>
    <comment ref="R2" authorId="0" shapeId="0">
      <text>
        <r>
          <rPr>
            <sz val="9"/>
            <color indexed="81"/>
            <rFont val="Tahoma"/>
            <family val="2"/>
          </rPr>
          <t>Kích chọn thẩm tra hay thẩm định</t>
        </r>
      </text>
    </comment>
  </commentList>
</comments>
</file>

<file path=xl/comments9.xml><?xml version="1.0" encoding="utf-8"?>
<comments xmlns="http://schemas.openxmlformats.org/spreadsheetml/2006/main">
  <authors>
    <author>HT</author>
    <author>Truongcom</author>
  </authors>
  <commentList>
    <comment ref="A8" authorId="0" shapeId="0">
      <text>
        <r>
          <rPr>
            <b/>
            <sz val="9"/>
            <color indexed="81"/>
            <rFont val="Tahoma"/>
            <family val="2"/>
          </rPr>
          <t>CPXD</t>
        </r>
      </text>
    </comment>
    <comment ref="A22" authorId="0" shapeId="0">
      <text>
        <r>
          <rPr>
            <b/>
            <sz val="9"/>
            <color indexed="81"/>
            <rFont val="Tahoma"/>
            <family val="2"/>
          </rPr>
          <t>CPTB</t>
        </r>
      </text>
    </comment>
    <comment ref="A23" authorId="0" shapeId="0">
      <text>
        <r>
          <rPr>
            <b/>
            <sz val="9"/>
            <color indexed="81"/>
            <rFont val="Tahoma"/>
            <family val="2"/>
          </rPr>
          <t>CPQLDA</t>
        </r>
      </text>
    </comment>
    <comment ref="A24" authorId="1" shapeId="0">
      <text>
        <r>
          <rPr>
            <b/>
            <sz val="9"/>
            <color indexed="81"/>
            <rFont val="Tahoma"/>
            <family val="2"/>
          </rPr>
          <t>CPTV</t>
        </r>
      </text>
    </comment>
    <comment ref="A27" authorId="1" shapeId="0">
      <text>
        <r>
          <rPr>
            <b/>
            <sz val="9"/>
            <color indexed="81"/>
            <rFont val="Tahoma"/>
            <family val="2"/>
          </rPr>
          <t>CPK</t>
        </r>
      </text>
    </comment>
    <comment ref="A30" authorId="1" shapeId="0">
      <text>
        <r>
          <rPr>
            <b/>
            <sz val="9"/>
            <color indexed="81"/>
            <rFont val="Tahoma"/>
            <family val="2"/>
          </rPr>
          <t>CPDPH</t>
        </r>
      </text>
    </comment>
    <comment ref="A34" authorId="0" shapeId="0">
      <text>
        <r>
          <rPr>
            <b/>
            <sz val="9"/>
            <color indexed="81"/>
            <rFont val="Tahoma"/>
            <family val="2"/>
          </rPr>
          <t>END</t>
        </r>
      </text>
    </comment>
  </commentList>
</comments>
</file>

<file path=xl/comments10.xml><?xml version="1.0" encoding="utf-8"?>
<comments xmlns="http://schemas.openxmlformats.org/spreadsheetml/2006/main">
  <authors>
    <author>Truongcom</author>
  </authors>
  <commentList>
    <comment ref="B11" authorId="0" shapeId="0">
      <text>
        <r>
          <rPr>
            <b/>
            <sz val="9"/>
            <color indexed="81"/>
            <rFont val="Tahoma"/>
            <family val="2"/>
          </rPr>
          <t>END</t>
        </r>
      </text>
    </comment>
  </commentList>
</comments>
</file>

<file path=xl/comments11.xml><?xml version="1.0" encoding="utf-8"?>
<comments xmlns="http://schemas.openxmlformats.org/spreadsheetml/2006/main">
  <authors>
    <author>Truongcom</author>
  </authors>
  <commentList>
    <comment ref="B13" authorId="0" shapeId="0">
      <text>
        <r>
          <rPr>
            <b/>
            <sz val="9"/>
            <color indexed="81"/>
            <rFont val="Tahoma"/>
            <family val="2"/>
          </rPr>
          <t>END</t>
        </r>
      </text>
    </comment>
  </commentList>
</comments>
</file>

<file path=xl/comments12.xml><?xml version="1.0" encoding="utf-8"?>
<comments xmlns="http://schemas.openxmlformats.org/spreadsheetml/2006/main">
  <authors>
    <author>Truongcom</author>
  </authors>
  <commentList>
    <comment ref="B11" authorId="0" shapeId="0">
      <text>
        <r>
          <rPr>
            <b/>
            <sz val="9"/>
            <color indexed="81"/>
            <rFont val="Tahoma"/>
            <family val="2"/>
          </rPr>
          <t>END</t>
        </r>
      </text>
    </comment>
  </commentList>
</comments>
</file>

<file path=xl/comments13.xml><?xml version="1.0" encoding="utf-8"?>
<comments xmlns="http://schemas.openxmlformats.org/spreadsheetml/2006/main">
  <authors>
    <author>Nguyễn Văn Toàn</author>
    <author>Truongcom</author>
  </authors>
  <commentList>
    <comment ref="O5" authorId="0" shapeId="0">
      <text>
        <r>
          <rPr>
            <b/>
            <sz val="9"/>
            <color indexed="81"/>
            <rFont val="Tahoma"/>
            <family val="2"/>
          </rPr>
          <t>Nguyễn Văn Toàn:</t>
        </r>
        <r>
          <rPr>
            <sz val="9"/>
            <color indexed="81"/>
            <rFont val="Tahoma"/>
            <family val="2"/>
          </rPr>
          <t xml:space="preserve">
Luật BHXH</t>
        </r>
      </text>
    </comment>
    <comment ref="B10" authorId="1" shapeId="0">
      <text>
        <r>
          <rPr>
            <b/>
            <sz val="9"/>
            <color indexed="81"/>
            <rFont val="Tahoma"/>
            <family val="2"/>
          </rPr>
          <t>END</t>
        </r>
      </text>
    </comment>
    <comment ref="P11" authorId="0" shapeId="0">
      <text>
        <r>
          <rPr>
            <b/>
            <sz val="9"/>
            <color indexed="81"/>
            <rFont val="Tahoma"/>
            <family val="2"/>
          </rPr>
          <t>Nguyễn Văn Toàn:</t>
        </r>
        <r>
          <rPr>
            <sz val="9"/>
            <color indexed="81"/>
            <rFont val="Tahoma"/>
            <family val="2"/>
          </rPr>
          <t xml:space="preserve">
Theo Thông tư số 02/2015/TT-BLĐTBXH</t>
        </r>
      </text>
    </comment>
  </commentList>
</comments>
</file>

<file path=xl/comments14.xml><?xml version="1.0" encoding="utf-8"?>
<comments xmlns="http://schemas.openxmlformats.org/spreadsheetml/2006/main">
  <authors>
    <author>The Anh Nguyen</author>
    <author>Truongcom</author>
  </authors>
  <commentList>
    <comment ref="D7" authorId="0" shapeId="0">
      <text>
        <r>
          <rPr>
            <b/>
            <sz val="12"/>
            <color indexed="81"/>
            <rFont val="Tahoma"/>
            <family val="2"/>
          </rPr>
          <t>Ghi chú: Chỉ cần nhập số vào và tính, không cần nhập đơn vị tính do đã được định dạng tự động.</t>
        </r>
      </text>
    </comment>
    <comment ref="B25" authorId="1" shapeId="0">
      <text>
        <r>
          <rPr>
            <b/>
            <sz val="9"/>
            <color indexed="81"/>
            <rFont val="Tahoma"/>
            <family val="2"/>
          </rPr>
          <t>END</t>
        </r>
      </text>
    </comment>
  </commentList>
</comments>
</file>

<file path=xl/comments15.xml><?xml version="1.0" encoding="utf-8"?>
<comments xmlns="http://schemas.openxmlformats.org/spreadsheetml/2006/main">
  <authors>
    <author>Vu Minh Hoan</author>
    <author>Truongcom</author>
  </authors>
  <commentList>
    <comment ref="E8" authorId="0" shapeId="0">
      <text>
        <r>
          <rPr>
            <b/>
            <sz val="9"/>
            <color indexed="81"/>
            <rFont val="Tahoma"/>
            <family val="2"/>
          </rPr>
          <t>Nhập ngày bắt đầu
dd/mm/yyyy</t>
        </r>
      </text>
    </comment>
    <comment ref="B13" authorId="1" shapeId="0">
      <text>
        <r>
          <rPr>
            <b/>
            <sz val="9"/>
            <color indexed="81"/>
            <rFont val="Tahoma"/>
            <family val="2"/>
          </rPr>
          <t>END</t>
        </r>
      </text>
    </comment>
  </commentList>
</comments>
</file>

<file path=xl/comments16.xml><?xml version="1.0" encoding="utf-8"?>
<comments xmlns="http://schemas.openxmlformats.org/spreadsheetml/2006/main">
  <authors>
    <author>Truongcom</author>
  </authors>
  <commentList>
    <comment ref="B11" authorId="0" shapeId="0">
      <text>
        <r>
          <rPr>
            <b/>
            <sz val="9"/>
            <color indexed="81"/>
            <rFont val="Tahoma"/>
            <family val="2"/>
          </rPr>
          <t>END</t>
        </r>
      </text>
    </comment>
  </commentList>
</comments>
</file>

<file path=xl/comments17.xml><?xml version="1.0" encoding="utf-8"?>
<comments xmlns="http://schemas.openxmlformats.org/spreadsheetml/2006/main">
  <authors>
    <author>Van Toan GXD</author>
  </authors>
  <commentList>
    <comment ref="A10" authorId="0" shapeId="0">
      <text>
        <r>
          <rPr>
            <b/>
            <sz val="9"/>
            <color indexed="81"/>
            <rFont val="Tahoma"/>
            <family val="2"/>
          </rPr>
          <t>END</t>
        </r>
      </text>
    </comment>
  </commentList>
</comments>
</file>

<file path=xl/comments18.xml><?xml version="1.0" encoding="utf-8"?>
<comments xmlns="http://schemas.openxmlformats.org/spreadsheetml/2006/main">
  <authors>
    <author>TheAnh</author>
  </authors>
  <commentList>
    <comment ref="E14" authorId="0" shapeId="0">
      <text>
        <r>
          <rPr>
            <b/>
            <sz val="11"/>
            <color indexed="81"/>
            <rFont val="Tahoma"/>
            <family val="2"/>
          </rPr>
          <t>NguyenTheAnh</t>
        </r>
        <r>
          <rPr>
            <sz val="11"/>
            <color indexed="81"/>
            <rFont val="Tahoma"/>
            <family val="2"/>
          </rPr>
          <t>: Theo phụ lục số 1 thông tư số 09/2019/TT-BXD:
- Tỷ lệ dự phòng cho khối lượng công việc phát sinh, kps ≤10%.
- Đối với dự án đầu tư xây dựng chỉ lập báo cáo kinh tế - kỹ thuật đầu tư xây dựng thì kps≤5%.</t>
        </r>
      </text>
    </comment>
    <comment ref="A16" authorId="0" shapeId="0">
      <text>
        <r>
          <rPr>
            <b/>
            <sz val="12"/>
            <color indexed="81"/>
            <rFont val="Tahoma"/>
            <family val="2"/>
          </rPr>
          <t xml:space="preserve">NguyenTheAnh: </t>
        </r>
        <r>
          <rPr>
            <sz val="12"/>
            <color indexed="81"/>
            <rFont val="Tahoma"/>
            <family val="2"/>
          </rPr>
          <t>Theo Phụ lục 1, Thông tư số 09/2019/TT-BXD
Chi phí dự phòng do yếu tố trượt giá (GDP2) được xác định trên cơ sở độ dài thời gian xây dựng công trình của dự án, tiến độ phân bổ vốn theo năm, bình quân năm mức độ biến động giá xây dựng công trình của tối thiểu 3 năm gần nhất, phù hợp với loại công trình, theo khu vực xây dựng và phải tính đến xu hướng biên động của các yếu tố chi phí, giá cả trong khu vực và quốc tế</t>
        </r>
        <r>
          <rPr>
            <sz val="9"/>
            <color indexed="81"/>
            <rFont val="Tahoma"/>
            <family val="2"/>
          </rPr>
          <t xml:space="preserve">
</t>
        </r>
      </text>
    </comment>
    <comment ref="A21" authorId="0" shapeId="0">
      <text>
        <r>
          <rPr>
            <b/>
            <sz val="11"/>
            <color indexed="81"/>
            <rFont val="Tahoma"/>
            <family val="2"/>
          </rPr>
          <t>NguyenTheAnh:</t>
        </r>
        <r>
          <rPr>
            <sz val="11"/>
            <color indexed="81"/>
            <rFont val="Tahoma"/>
            <family val="2"/>
          </rPr>
          <t xml:space="preserve">
Mục II-2.5 Phụ lục I Thông tư số 11/2021/TT-BXD: Chỉ số giá xây dựng sử dụng tính dự phòng cho yếu tố trượt giá được xác định bằng cách tính bình quân các chỉ số giá xây dựng liên hoàn theo loại công trình của tối thiếu 3 năm gần nhất so với thời điểm tính toán (không tính đến những thời điểm có biến động bất thường về giá nguyên liệu, nhiên liệu và vật liệu xây dựng).</t>
        </r>
      </text>
    </comment>
    <comment ref="E72" authorId="0" shapeId="0">
      <text>
        <r>
          <rPr>
            <b/>
            <sz val="14"/>
            <color indexed="81"/>
            <rFont val="Times New Roman"/>
            <family val="1"/>
          </rPr>
          <t xml:space="preserve">NguyenTheAnh: </t>
        </r>
        <r>
          <rPr>
            <sz val="14"/>
            <color indexed="81"/>
            <rFont val="Times New Roman"/>
            <family val="1"/>
          </rPr>
          <t>Theo phụ lục số 1 thông tư số 09/2019/TT-BXD:
Hệ số dự phòng cho khối lượng công việc phát sinh, mức tỷ lệ này phụ thuộc vào mức độ phức tạp của công trình thuộc dự án và điều kiện địa chất công trình nơi xây dựng công trình và mức tỷ lệ là kps ≤ 5%.</t>
        </r>
      </text>
    </comment>
    <comment ref="A78" authorId="0" shapeId="0">
      <text>
        <r>
          <rPr>
            <b/>
            <sz val="9"/>
            <color indexed="81"/>
            <rFont val="Tahoma"/>
            <family val="2"/>
          </rPr>
          <t>NguyenTheAnh:</t>
        </r>
        <r>
          <rPr>
            <sz val="9"/>
            <color indexed="81"/>
            <rFont val="Tahoma"/>
            <family val="2"/>
          </rPr>
          <t xml:space="preserve">
PL1 Thông tư số 09/2019/TT-BXD: Ixdctbq được xác định bằng cách tính bình quân các chỉ số giá xây dựng liên hoàn theo loại công trình của tối thiếu 3 năm gần nhất so với thời điểm tính toán (không tính đến những thời điểm có biến động bất thường về giá nguyên liệu, nhiên liệu và vật liệu xây dựng)</t>
        </r>
      </text>
    </comment>
    <comment ref="A130" authorId="0" shapeId="0">
      <text>
        <r>
          <rPr>
            <b/>
            <sz val="9"/>
            <color indexed="81"/>
            <rFont val="Tahoma"/>
            <family val="2"/>
          </rPr>
          <t>NguyenTheAnh:</t>
        </r>
        <r>
          <rPr>
            <sz val="9"/>
            <color indexed="81"/>
            <rFont val="Tahoma"/>
            <family val="2"/>
          </rPr>
          <t xml:space="preserve">
PL1 Thông tư số 09/2019/TT-BXD: Ixdctbq được xác định bằng cách tính bình quân các chỉ số giá xây dựng liên hoàn theo loại công trình của tối thiếu 3 năm gần nhất so với thời điểm tính toán (không tính đến những thời điểm có biến động bất thường về giá nguyên liệu, nhiên liệu và vật liệu xây dựng)</t>
        </r>
      </text>
    </comment>
    <comment ref="A179" authorId="0" shapeId="0">
      <text>
        <r>
          <rPr>
            <b/>
            <sz val="9"/>
            <color indexed="81"/>
            <rFont val="Tahoma"/>
            <family val="2"/>
          </rPr>
          <t>NguyenTheAnh:</t>
        </r>
        <r>
          <rPr>
            <sz val="9"/>
            <color indexed="81"/>
            <rFont val="Tahoma"/>
            <family val="2"/>
          </rPr>
          <t xml:space="preserve">
PL1 Thông tư số 09/2019/TT-BXD: Ixdctbq được xác định bằng cách tính bình quân các chỉ số giá xây dựng liên hoàn theo loại công trình của tối thiếu 3 năm gần nhất so với thời điểm tính toán (không tính đến những thời điểm có biến động bất thường về giá nguyên liệu, nhiên liệu và vật liệu xây dựng)</t>
        </r>
      </text>
    </comment>
  </commentList>
</comments>
</file>

<file path=xl/comments19.xml><?xml version="1.0" encoding="utf-8"?>
<comments xmlns="http://schemas.openxmlformats.org/spreadsheetml/2006/main">
  <authors>
    <author>Bravo15</author>
    <author>User</author>
    <author>Windows User</author>
    <author>My PC</author>
    <author>ADMIN</author>
  </authors>
  <commentList>
    <comment ref="A1" authorId="0" shapeId="0">
      <text>
        <r>
          <rPr>
            <sz val="9"/>
            <color indexed="81"/>
            <rFont val="Tahoma"/>
            <family val="2"/>
          </rPr>
          <t>HM1</t>
        </r>
      </text>
    </comment>
    <comment ref="A17" authorId="1" shapeId="0">
      <text>
        <r>
          <rPr>
            <b/>
            <sz val="9"/>
            <color indexed="81"/>
            <rFont val="Tahoma"/>
            <family val="2"/>
          </rPr>
          <t>MAU</t>
        </r>
      </text>
    </comment>
    <comment ref="F19" authorId="2" shapeId="0">
      <text>
        <r>
          <rPr>
            <b/>
            <sz val="9"/>
            <color indexed="81"/>
            <rFont val="Tahoma"/>
            <family val="2"/>
          </rPr>
          <t>Để xác định tỷ lệ này, bạn phải nhập chi phí xây dựng trước thuế trong TMĐT được duyệt lại sheet TS</t>
        </r>
      </text>
    </comment>
    <comment ref="F20" authorId="2" shapeId="0">
      <text>
        <r>
          <rPr>
            <b/>
            <sz val="9"/>
            <color indexed="81"/>
            <rFont val="Tahoma"/>
            <family val="2"/>
          </rPr>
          <t>Để xác định tỷ lệ này, bạn phải nhập chi phí xây dựng trước thuế trong TMĐT được duyệt lại sheet TS</t>
        </r>
      </text>
    </comment>
    <comment ref="A26" authorId="3" shapeId="0">
      <text>
        <r>
          <rPr>
            <b/>
            <sz val="9"/>
            <color indexed="81"/>
            <rFont val="Tahoma"/>
            <family val="2"/>
          </rPr>
          <t>END_AN</t>
        </r>
      </text>
    </comment>
    <comment ref="A28" authorId="1" shapeId="0">
      <text>
        <r>
          <rPr>
            <b/>
            <sz val="9"/>
            <color indexed="81"/>
            <rFont val="Tahoma"/>
            <family val="2"/>
          </rPr>
          <t>END_MAU</t>
        </r>
      </text>
    </comment>
    <comment ref="A30" authorId="0" shapeId="0">
      <text>
        <r>
          <rPr>
            <sz val="9"/>
            <color indexed="81"/>
            <rFont val="Tahoma"/>
            <family val="2"/>
          </rPr>
          <t>HM2</t>
        </r>
      </text>
    </comment>
    <comment ref="A59" authorId="0" shapeId="0">
      <text>
        <r>
          <rPr>
            <sz val="9"/>
            <color indexed="81"/>
            <rFont val="Tahoma"/>
            <family val="2"/>
          </rPr>
          <t>HM3</t>
        </r>
      </text>
    </comment>
    <comment ref="A88" authorId="0" shapeId="0">
      <text>
        <r>
          <rPr>
            <sz val="9"/>
            <color indexed="81"/>
            <rFont val="Tahoma"/>
            <family val="2"/>
          </rPr>
          <t>HM8</t>
        </r>
      </text>
    </comment>
    <comment ref="A117" authorId="0" shapeId="0">
      <text>
        <r>
          <rPr>
            <sz val="9"/>
            <color indexed="81"/>
            <rFont val="Tahoma"/>
            <family val="2"/>
          </rPr>
          <t>HM4</t>
        </r>
      </text>
    </comment>
    <comment ref="A146" authorId="0" shapeId="0">
      <text>
        <r>
          <rPr>
            <sz val="9"/>
            <color indexed="81"/>
            <rFont val="Tahoma"/>
            <family val="2"/>
          </rPr>
          <t>HM5</t>
        </r>
      </text>
    </comment>
    <comment ref="A175" authorId="0" shapeId="0">
      <text>
        <r>
          <rPr>
            <sz val="9"/>
            <color indexed="81"/>
            <rFont val="Tahoma"/>
            <family val="2"/>
          </rPr>
          <t>HM6</t>
        </r>
      </text>
    </comment>
    <comment ref="A204" authorId="0" shapeId="0">
      <text>
        <r>
          <rPr>
            <sz val="9"/>
            <color indexed="81"/>
            <rFont val="Tahoma"/>
            <family val="2"/>
          </rPr>
          <t>HM7</t>
        </r>
      </text>
    </comment>
    <comment ref="A240" authorId="4" shapeId="0">
      <text>
        <r>
          <rPr>
            <b/>
            <sz val="9"/>
            <color indexed="81"/>
            <rFont val="Tahoma"/>
            <family val="2"/>
          </rPr>
          <t>HMT</t>
        </r>
      </text>
    </comment>
    <comment ref="A249" authorId="1" shapeId="0">
      <text>
        <r>
          <rPr>
            <b/>
            <sz val="9"/>
            <color indexed="81"/>
            <rFont val="Tahoma"/>
            <family val="2"/>
          </rPr>
          <t>MAU</t>
        </r>
      </text>
    </comment>
    <comment ref="A258" authorId="3" shapeId="0">
      <text>
        <r>
          <rPr>
            <b/>
            <sz val="9"/>
            <color indexed="81"/>
            <rFont val="Tahoma"/>
            <family val="2"/>
          </rPr>
          <t>END_AN</t>
        </r>
      </text>
    </comment>
    <comment ref="A260" authorId="1" shapeId="0">
      <text>
        <r>
          <rPr>
            <b/>
            <sz val="9"/>
            <color indexed="81"/>
            <rFont val="Tahoma"/>
            <family val="2"/>
          </rPr>
          <t>END_MAU</t>
        </r>
      </text>
    </comment>
    <comment ref="A262" authorId="1" shapeId="0">
      <text>
        <r>
          <rPr>
            <b/>
            <sz val="9"/>
            <color indexed="81"/>
            <rFont val="Tahoma"/>
            <family val="2"/>
          </rPr>
          <t>END</t>
        </r>
      </text>
    </comment>
  </commentList>
</comments>
</file>

<file path=xl/comments20.xml><?xml version="1.0" encoding="utf-8"?>
<comments xmlns="http://schemas.openxmlformats.org/spreadsheetml/2006/main">
  <authors>
    <author>Truongcom</author>
  </authors>
  <commentList>
    <comment ref="C2" authorId="0" shapeId="0">
      <text>
        <r>
          <rPr>
            <b/>
            <sz val="9"/>
            <color indexed="81"/>
            <rFont val="Tahoma"/>
            <family val="2"/>
          </rPr>
          <t>BD1</t>
        </r>
      </text>
    </comment>
    <comment ref="C10" authorId="0" shapeId="0">
      <text>
        <r>
          <rPr>
            <b/>
            <sz val="9"/>
            <color indexed="81"/>
            <rFont val="Tahoma"/>
            <family val="2"/>
          </rPr>
          <t>TH1</t>
        </r>
      </text>
    </comment>
    <comment ref="E10" authorId="0" shapeId="0">
      <text>
        <r>
          <rPr>
            <b/>
            <sz val="9"/>
            <color indexed="81"/>
            <rFont val="Tahoma"/>
            <family val="2"/>
          </rPr>
          <t>0</t>
        </r>
      </text>
    </comment>
    <comment ref="C12" authorId="0" shapeId="0">
      <text>
        <r>
          <rPr>
            <b/>
            <sz val="9"/>
            <color indexed="81"/>
            <rFont val="Tahoma"/>
            <family val="2"/>
          </rPr>
          <t>EN1</t>
        </r>
      </text>
    </comment>
  </commentList>
</comments>
</file>

<file path=xl/comments21.xml><?xml version="1.0" encoding="utf-8"?>
<comments xmlns="http://schemas.openxmlformats.org/spreadsheetml/2006/main">
  <authors>
    <author>NGOCBICH</author>
    <author>TheAnh</author>
  </authors>
  <commentList>
    <comment ref="B2" authorId="0" shapeId="0">
      <text>
        <r>
          <rPr>
            <b/>
            <sz val="9"/>
            <color indexed="81"/>
            <rFont val="Tahoma"/>
            <family val="2"/>
          </rPr>
          <t>DT</t>
        </r>
      </text>
    </comment>
    <comment ref="A332" authorId="1" shapeId="0">
      <text>
        <r>
          <rPr>
            <b/>
            <sz val="9"/>
            <color indexed="81"/>
            <rFont val="Tahoma"/>
            <family val="2"/>
            <charset val="163"/>
          </rPr>
          <t>END</t>
        </r>
      </text>
    </comment>
  </commentList>
</comments>
</file>

<file path=xl/comments22.xml><?xml version="1.0" encoding="utf-8"?>
<comments xmlns="http://schemas.openxmlformats.org/spreadsheetml/2006/main">
  <authors>
    <author>LEO</author>
  </authors>
  <commentList>
    <comment ref="A1123" authorId="0" shapeId="0">
      <text>
        <r>
          <rPr>
            <b/>
            <sz val="14"/>
            <color indexed="81"/>
            <rFont val="Tahoma"/>
            <family val="2"/>
          </rPr>
          <t>END</t>
        </r>
      </text>
    </comment>
  </commentList>
</comments>
</file>

<file path=xl/comments23.xml><?xml version="1.0" encoding="utf-8"?>
<comments xmlns="http://schemas.openxmlformats.org/spreadsheetml/2006/main">
  <authors>
    <author>GIANG</author>
  </authors>
  <commentList>
    <comment ref="A200" authorId="0" shapeId="0">
      <text>
        <r>
          <rPr>
            <b/>
            <sz val="9"/>
            <color indexed="81"/>
            <rFont val="Tahoma"/>
            <family val="2"/>
          </rPr>
          <t>END</t>
        </r>
      </text>
    </comment>
  </commentList>
</comments>
</file>

<file path=xl/comments24.xml><?xml version="1.0" encoding="utf-8"?>
<comments xmlns="http://schemas.openxmlformats.org/spreadsheetml/2006/main">
  <authors>
    <author>Phandung</author>
  </authors>
  <commentList>
    <comment ref="A15" authorId="0" shapeId="0">
      <text>
        <r>
          <rPr>
            <b/>
            <sz val="9"/>
            <color indexed="81"/>
            <rFont val="Tahoma"/>
            <family val="2"/>
          </rPr>
          <t>END</t>
        </r>
      </text>
    </comment>
  </commentList>
</comments>
</file>

<file path=xl/comments25.xml><?xml version="1.0" encoding="utf-8"?>
<comments xmlns="http://schemas.openxmlformats.org/spreadsheetml/2006/main">
  <authors>
    <author>Nguyễn Thế Anh</author>
    <author>LapTop</author>
    <author>LEO</author>
  </authors>
  <commentList>
    <comment ref="F5" authorId="0" shapeId="0">
      <text>
        <r>
          <rPr>
            <sz val="12"/>
            <color indexed="81"/>
            <rFont val="Tahoma"/>
            <family val="2"/>
          </rPr>
          <t>Quy định trong Định mức ban hành theo Thông tư 12/2021/TT-BXD</t>
        </r>
        <r>
          <rPr>
            <sz val="9"/>
            <color indexed="81"/>
            <rFont val="Tahoma"/>
            <family val="2"/>
          </rPr>
          <t xml:space="preserve">
</t>
        </r>
      </text>
    </comment>
    <comment ref="G5"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5"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5"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5"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7" authorId="2" shapeId="0">
      <text>
        <r>
          <rPr>
            <b/>
            <sz val="14"/>
            <color indexed="81"/>
            <rFont val="Tahoma"/>
            <family val="2"/>
          </rPr>
          <t>HM1</t>
        </r>
      </text>
    </comment>
    <comment ref="A9" authorId="2" shapeId="0">
      <text>
        <r>
          <rPr>
            <b/>
            <sz val="14"/>
            <color indexed="81"/>
            <rFont val="Tahoma"/>
            <family val="2"/>
          </rPr>
          <t>END_HM1</t>
        </r>
      </text>
    </comment>
    <comment ref="A14" authorId="2" shapeId="0">
      <text>
        <r>
          <rPr>
            <b/>
            <sz val="14"/>
            <color indexed="81"/>
            <rFont val="Tahoma"/>
            <family val="2"/>
          </rPr>
          <t>HM2</t>
        </r>
      </text>
    </comment>
    <comment ref="F14" authorId="0" shapeId="0">
      <text>
        <r>
          <rPr>
            <sz val="12"/>
            <color indexed="81"/>
            <rFont val="Tahoma"/>
            <family val="2"/>
          </rPr>
          <t>Quy định trong Định mức ban hành theo Thông tư 12/2021/TT-BXD</t>
        </r>
        <r>
          <rPr>
            <sz val="9"/>
            <color indexed="81"/>
            <rFont val="Tahoma"/>
            <family val="2"/>
          </rPr>
          <t xml:space="preserve">
</t>
        </r>
      </text>
    </comment>
    <comment ref="G14"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14"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14"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14"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32" authorId="2" shapeId="0">
      <text>
        <r>
          <rPr>
            <b/>
            <sz val="14"/>
            <color indexed="81"/>
            <rFont val="Tahoma"/>
            <family val="2"/>
          </rPr>
          <t>END_HM2</t>
        </r>
      </text>
    </comment>
    <comment ref="A37" authorId="2" shapeId="0">
      <text>
        <r>
          <rPr>
            <b/>
            <sz val="14"/>
            <color indexed="81"/>
            <rFont val="Tahoma"/>
            <family val="2"/>
          </rPr>
          <t>HM3</t>
        </r>
      </text>
    </comment>
    <comment ref="F37" authorId="0" shapeId="0">
      <text>
        <r>
          <rPr>
            <sz val="12"/>
            <color indexed="81"/>
            <rFont val="Tahoma"/>
            <family val="2"/>
          </rPr>
          <t>Quy định trong Định mức ban hành theo Thông tư 12/2021/TT-BXD</t>
        </r>
        <r>
          <rPr>
            <sz val="9"/>
            <color indexed="81"/>
            <rFont val="Tahoma"/>
            <family val="2"/>
          </rPr>
          <t xml:space="preserve">
</t>
        </r>
      </text>
    </comment>
    <comment ref="G37"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37"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37"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37"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52" authorId="2" shapeId="0">
      <text>
        <r>
          <rPr>
            <b/>
            <sz val="14"/>
            <color indexed="81"/>
            <rFont val="Tahoma"/>
            <family val="2"/>
          </rPr>
          <t>END_HM3</t>
        </r>
      </text>
    </comment>
    <comment ref="A57" authorId="2" shapeId="0">
      <text>
        <r>
          <rPr>
            <b/>
            <sz val="14"/>
            <color indexed="81"/>
            <rFont val="Tahoma"/>
            <family val="2"/>
          </rPr>
          <t>HM4</t>
        </r>
      </text>
    </comment>
    <comment ref="F57" authorId="0" shapeId="0">
      <text>
        <r>
          <rPr>
            <sz val="12"/>
            <color indexed="81"/>
            <rFont val="Tahoma"/>
            <family val="2"/>
          </rPr>
          <t>Quy định trong Định mức ban hành theo Thông tư 12/2021/TT-BXD</t>
        </r>
        <r>
          <rPr>
            <sz val="9"/>
            <color indexed="81"/>
            <rFont val="Tahoma"/>
            <family val="2"/>
          </rPr>
          <t xml:space="preserve">
</t>
        </r>
      </text>
    </comment>
    <comment ref="G57"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57"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57"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57"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63" authorId="2" shapeId="0">
      <text>
        <r>
          <rPr>
            <b/>
            <sz val="14"/>
            <color indexed="81"/>
            <rFont val="Tahoma"/>
            <family val="2"/>
          </rPr>
          <t>END_HM4</t>
        </r>
      </text>
    </comment>
    <comment ref="A68" authorId="2" shapeId="0">
      <text>
        <r>
          <rPr>
            <b/>
            <sz val="14"/>
            <color indexed="81"/>
            <rFont val="Tahoma"/>
            <family val="2"/>
          </rPr>
          <t>HM5</t>
        </r>
      </text>
    </comment>
    <comment ref="F68" authorId="0" shapeId="0">
      <text>
        <r>
          <rPr>
            <sz val="12"/>
            <color indexed="81"/>
            <rFont val="Tahoma"/>
            <family val="2"/>
          </rPr>
          <t>Quy định trong Định mức ban hành theo Thông tư 12/2021/TT-BXD</t>
        </r>
        <r>
          <rPr>
            <sz val="9"/>
            <color indexed="81"/>
            <rFont val="Tahoma"/>
            <family val="2"/>
          </rPr>
          <t xml:space="preserve">
</t>
        </r>
      </text>
    </comment>
    <comment ref="G68"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68"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68"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68"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77" authorId="2" shapeId="0">
      <text>
        <r>
          <rPr>
            <b/>
            <sz val="14"/>
            <color indexed="81"/>
            <rFont val="Tahoma"/>
            <family val="2"/>
          </rPr>
          <t>END_HM5</t>
        </r>
      </text>
    </comment>
    <comment ref="A82" authorId="2" shapeId="0">
      <text>
        <r>
          <rPr>
            <b/>
            <sz val="14"/>
            <color indexed="81"/>
            <rFont val="Tahoma"/>
            <family val="2"/>
          </rPr>
          <t>HM6</t>
        </r>
      </text>
    </comment>
    <comment ref="F82" authorId="0" shapeId="0">
      <text>
        <r>
          <rPr>
            <sz val="12"/>
            <color indexed="81"/>
            <rFont val="Tahoma"/>
            <family val="2"/>
          </rPr>
          <t>Quy định trong Định mức ban hành theo Thông tư 12/2021/TT-BXD</t>
        </r>
        <r>
          <rPr>
            <sz val="9"/>
            <color indexed="81"/>
            <rFont val="Tahoma"/>
            <family val="2"/>
          </rPr>
          <t xml:space="preserve">
</t>
        </r>
      </text>
    </comment>
    <comment ref="G82"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82"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82"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82"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96" authorId="2" shapeId="0">
      <text>
        <r>
          <rPr>
            <b/>
            <sz val="14"/>
            <color indexed="81"/>
            <rFont val="Tahoma"/>
            <family val="2"/>
          </rPr>
          <t>END_HM6</t>
        </r>
      </text>
    </comment>
    <comment ref="A101" authorId="2" shapeId="0">
      <text>
        <r>
          <rPr>
            <b/>
            <sz val="14"/>
            <color indexed="81"/>
            <rFont val="Tahoma"/>
            <family val="2"/>
          </rPr>
          <t>HM7</t>
        </r>
      </text>
    </comment>
    <comment ref="F101" authorId="0" shapeId="0">
      <text>
        <r>
          <rPr>
            <sz val="12"/>
            <color indexed="81"/>
            <rFont val="Tahoma"/>
            <family val="2"/>
          </rPr>
          <t>Quy định trong Định mức ban hành theo Thông tư 12/2021/TT-BXD</t>
        </r>
        <r>
          <rPr>
            <sz val="9"/>
            <color indexed="81"/>
            <rFont val="Tahoma"/>
            <family val="2"/>
          </rPr>
          <t xml:space="preserve">
</t>
        </r>
      </text>
    </comment>
    <comment ref="G101"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101"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101"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101"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110" authorId="2" shapeId="0">
      <text>
        <r>
          <rPr>
            <b/>
            <sz val="14"/>
            <color indexed="81"/>
            <rFont val="Tahoma"/>
            <family val="2"/>
          </rPr>
          <t>END_HM7</t>
        </r>
      </text>
    </comment>
    <comment ref="A115" authorId="2" shapeId="0">
      <text>
        <r>
          <rPr>
            <b/>
            <sz val="14"/>
            <color indexed="81"/>
            <rFont val="Tahoma"/>
            <family val="2"/>
          </rPr>
          <t>HM8</t>
        </r>
      </text>
    </comment>
    <comment ref="F115" authorId="0" shapeId="0">
      <text>
        <r>
          <rPr>
            <sz val="12"/>
            <color indexed="81"/>
            <rFont val="Tahoma"/>
            <family val="2"/>
          </rPr>
          <t>Quy định trong Định mức ban hành theo Thông tư 12/2021/TT-BXD</t>
        </r>
        <r>
          <rPr>
            <sz val="9"/>
            <color indexed="81"/>
            <rFont val="Tahoma"/>
            <family val="2"/>
          </rPr>
          <t xml:space="preserve">
</t>
        </r>
      </text>
    </comment>
    <comment ref="G115"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115"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115" authorId="0" shapeId="0">
      <text>
        <r>
          <rPr>
            <sz val="14"/>
            <color indexed="81"/>
            <rFont val="Tahoma"/>
            <family val="2"/>
          </rPr>
          <t>Kích phải để nhập số liệu vận chuyển
Gõ dấu = và Enter để sao chép dữ liệu vận chuyển từ một vật liệu sang vật liệu khác</t>
        </r>
        <r>
          <rPr>
            <b/>
            <sz val="10"/>
            <color indexed="81"/>
            <rFont val="Tahoma"/>
            <family val="2"/>
          </rPr>
          <t xml:space="preserve"> </t>
        </r>
        <r>
          <rPr>
            <sz val="9"/>
            <color indexed="81"/>
            <rFont val="Tahoma"/>
            <family val="2"/>
          </rPr>
          <t xml:space="preserve">
</t>
        </r>
      </text>
    </comment>
    <comment ref="AF115"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 ref="A132" authorId="2" shapeId="0">
      <text>
        <r>
          <rPr>
            <b/>
            <sz val="14"/>
            <color indexed="81"/>
            <rFont val="Tahoma"/>
            <family val="2"/>
          </rPr>
          <t>END_HM8</t>
        </r>
      </text>
    </comment>
  </commentList>
</comments>
</file>

<file path=xl/comments26.xml><?xml version="1.0" encoding="utf-8"?>
<comments xmlns="http://schemas.openxmlformats.org/spreadsheetml/2006/main">
  <authors>
    <author>USER</author>
  </authors>
  <commentList>
    <comment ref="A70" authorId="0" shapeId="0">
      <text>
        <r>
          <rPr>
            <b/>
            <sz val="9"/>
            <color indexed="81"/>
            <rFont val="Tahoma"/>
            <family val="2"/>
          </rPr>
          <t>END</t>
        </r>
      </text>
    </comment>
  </commentList>
</comments>
</file>

<file path=xl/comments27.xml><?xml version="1.0" encoding="utf-8"?>
<comments xmlns="http://schemas.openxmlformats.org/spreadsheetml/2006/main">
  <authors>
    <author>USER</author>
  </authors>
  <commentList>
    <comment ref="A2" authorId="0" shapeId="0">
      <text>
        <r>
          <rPr>
            <b/>
            <sz val="9"/>
            <color indexed="81"/>
            <rFont val="Tahoma"/>
            <family val="2"/>
          </rPr>
          <t>A</t>
        </r>
      </text>
    </comment>
    <comment ref="A89" authorId="0" shapeId="0">
      <text>
        <r>
          <rPr>
            <b/>
            <sz val="9"/>
            <color indexed="81"/>
            <rFont val="Tahoma"/>
            <family val="2"/>
          </rPr>
          <t>END</t>
        </r>
      </text>
    </comment>
  </commentList>
</comments>
</file>

<file path=xl/comments28.xml><?xml version="1.0" encoding="utf-8"?>
<comments xmlns="http://schemas.openxmlformats.org/spreadsheetml/2006/main">
  <authors>
    <author>Nguyễn Văn Toàn</author>
  </authors>
  <commentList>
    <comment ref="A7" authorId="0" shapeId="0">
      <text>
        <r>
          <rPr>
            <sz val="9"/>
            <color indexed="81"/>
            <rFont val="Tahoma"/>
            <family val="2"/>
          </rPr>
          <t>END</t>
        </r>
      </text>
    </comment>
  </commentList>
</comments>
</file>

<file path=xl/comments29.xml><?xml version="1.0" encoding="utf-8"?>
<comments xmlns="http://schemas.openxmlformats.org/spreadsheetml/2006/main">
  <authors>
    <author>Nguyễn Văn Toàn</author>
  </authors>
  <commentList>
    <comment ref="A7" authorId="0" shapeId="0">
      <text>
        <r>
          <rPr>
            <sz val="9"/>
            <color indexed="81"/>
            <rFont val="Tahoma"/>
            <family val="2"/>
          </rPr>
          <t>END</t>
        </r>
      </text>
    </comment>
  </commentList>
</comments>
</file>

<file path=xl/comments30.xml><?xml version="1.0" encoding="utf-8"?>
<comments xmlns="http://schemas.openxmlformats.org/spreadsheetml/2006/main">
  <authors>
    <author>hp</author>
  </authors>
  <commentList>
    <comment ref="A13" authorId="0" shapeId="0">
      <text>
        <r>
          <rPr>
            <b/>
            <sz val="9"/>
            <color indexed="81"/>
            <rFont val="Tahoma"/>
            <family val="2"/>
          </rPr>
          <t>START</t>
        </r>
      </text>
    </comment>
    <comment ref="A14" authorId="0" shapeId="0">
      <text>
        <r>
          <rPr>
            <b/>
            <sz val="9"/>
            <color indexed="81"/>
            <rFont val="Tahoma"/>
            <family val="2"/>
          </rPr>
          <t>END</t>
        </r>
      </text>
    </comment>
  </commentList>
</comments>
</file>

<file path=xl/comments31.xml><?xml version="1.0" encoding="utf-8"?>
<comments xmlns="http://schemas.openxmlformats.org/spreadsheetml/2006/main">
  <authors>
    <author>HT</author>
  </authors>
  <commentList>
    <comment ref="B6" authorId="0" shapeId="0">
      <text>
        <r>
          <rPr>
            <b/>
            <sz val="9"/>
            <color indexed="81"/>
            <rFont val="Tahoma"/>
            <family val="2"/>
          </rPr>
          <t>CPMSCTCN</t>
        </r>
      </text>
    </comment>
    <comment ref="B12" authorId="0" shapeId="0">
      <text>
        <r>
          <rPr>
            <b/>
            <sz val="9"/>
            <color indexed="81"/>
            <rFont val="Tahoma"/>
            <family val="2"/>
          </rPr>
          <t>CPTBGCCT</t>
        </r>
      </text>
    </comment>
    <comment ref="B13" authorId="0" shapeId="0">
      <text>
        <r>
          <rPr>
            <b/>
            <sz val="9"/>
            <color indexed="81"/>
            <rFont val="Tahoma"/>
            <family val="2"/>
          </rPr>
          <t>CPQLMSTB</t>
        </r>
      </text>
    </comment>
    <comment ref="B14" authorId="0" shapeId="0">
      <text>
        <r>
          <rPr>
            <b/>
            <sz val="9"/>
            <color indexed="81"/>
            <rFont val="Tahoma"/>
            <family val="2"/>
          </rPr>
          <t>CPBQPM</t>
        </r>
      </text>
    </comment>
    <comment ref="B15" authorId="0" shapeId="0">
      <text>
        <r>
          <rPr>
            <b/>
            <sz val="9"/>
            <color indexed="81"/>
            <rFont val="Tahoma"/>
            <family val="2"/>
          </rPr>
          <t>CPDTCG</t>
        </r>
      </text>
    </comment>
    <comment ref="B16" authorId="0" shapeId="0">
      <text>
        <r>
          <rPr>
            <b/>
            <sz val="9"/>
            <color indexed="81"/>
            <rFont val="Tahoma"/>
            <family val="2"/>
          </rPr>
          <t>CPLDTN</t>
        </r>
      </text>
    </comment>
    <comment ref="B26" authorId="0" shapeId="0">
      <text>
        <r>
          <rPr>
            <b/>
            <sz val="9"/>
            <color indexed="81"/>
            <rFont val="Tahoma"/>
            <family val="2"/>
          </rPr>
          <t>END</t>
        </r>
      </text>
    </comment>
  </commentList>
</comments>
</file>

<file path=xl/comments32.xml><?xml version="1.0" encoding="utf-8"?>
<comments xmlns="http://schemas.openxmlformats.org/spreadsheetml/2006/main">
  <authors>
    <author>Nguyễn Thế Anh</author>
    <author>HT</author>
    <author>Nguyễn Văn Toàn</author>
  </authors>
  <commentList>
    <comment ref="B5" authorId="0" shapeId="0">
      <text>
        <r>
          <rPr>
            <sz val="14"/>
            <color indexed="81"/>
            <rFont val="Tahoma"/>
            <family val="2"/>
          </rPr>
          <t>Kích phải hoặc gõ từ khóa để tra thiết bị</t>
        </r>
      </text>
    </comment>
    <comment ref="A6" authorId="1" shapeId="0">
      <text>
        <r>
          <rPr>
            <b/>
            <sz val="9"/>
            <color indexed="81"/>
            <rFont val="Tahoma"/>
            <family val="2"/>
          </rPr>
          <t>TBVLLDTN</t>
        </r>
      </text>
    </comment>
    <comment ref="A7" authorId="1" shapeId="0">
      <text>
        <r>
          <rPr>
            <b/>
            <sz val="9"/>
            <color indexed="81"/>
            <rFont val="Tahoma"/>
            <family val="2"/>
          </rPr>
          <t>CPMSTB</t>
        </r>
      </text>
    </comment>
    <comment ref="A13" authorId="1" shapeId="0">
      <text>
        <r>
          <rPr>
            <b/>
            <sz val="9"/>
            <color indexed="81"/>
            <rFont val="Tahoma"/>
            <family val="2"/>
          </rPr>
          <t>CPMSVLLD</t>
        </r>
      </text>
    </comment>
    <comment ref="A20" authorId="1" shapeId="0">
      <text>
        <r>
          <rPr>
            <b/>
            <sz val="9"/>
            <color indexed="81"/>
            <rFont val="Tahoma"/>
            <family val="2"/>
          </rPr>
          <t>VTXDTN</t>
        </r>
      </text>
    </comment>
    <comment ref="A21" authorId="1" shapeId="0">
      <text>
        <r>
          <rPr>
            <b/>
            <sz val="9"/>
            <color indexed="81"/>
            <rFont val="Tahoma"/>
            <family val="2"/>
          </rPr>
          <t>CPMSVLD</t>
        </r>
      </text>
    </comment>
    <comment ref="A28" authorId="1" shapeId="0">
      <text>
        <r>
          <rPr>
            <b/>
            <sz val="9"/>
            <color indexed="81"/>
            <rFont val="Tahoma"/>
            <family val="2"/>
          </rPr>
          <t>CPMSCOT</t>
        </r>
      </text>
    </comment>
    <comment ref="A35" authorId="2" shapeId="0">
      <text>
        <r>
          <rPr>
            <b/>
            <sz val="9"/>
            <color indexed="81"/>
            <rFont val="Tahoma"/>
            <family val="2"/>
          </rPr>
          <t>END</t>
        </r>
      </text>
    </comment>
  </commentList>
</comments>
</file>

<file path=xl/comments33.xml><?xml version="1.0" encoding="utf-8"?>
<comments xmlns="http://schemas.openxmlformats.org/spreadsheetml/2006/main">
  <authors>
    <author>Nguyễn Thế Anh</author>
    <author>HT</author>
    <author>Nguyễn Văn Toàn</author>
  </authors>
  <commentList>
    <comment ref="B5" authorId="0" shapeId="0">
      <text>
        <r>
          <rPr>
            <sz val="14"/>
            <color indexed="81"/>
            <rFont val="Tahoma"/>
            <family val="2"/>
          </rPr>
          <t>Kích phải hoặc gõ từ khóa để tra thiết bị</t>
        </r>
      </text>
    </comment>
    <comment ref="A7" authorId="1" shapeId="0">
      <text>
        <r>
          <rPr>
            <sz val="9"/>
            <color indexed="81"/>
            <rFont val="Tahoma"/>
            <family val="2"/>
          </rPr>
          <t>TBVLLDNN</t>
        </r>
      </text>
    </comment>
    <comment ref="A8" authorId="1" shapeId="0">
      <text>
        <r>
          <rPr>
            <b/>
            <sz val="9"/>
            <color indexed="81"/>
            <rFont val="Tahoma"/>
            <family val="2"/>
          </rPr>
          <t>CPMSTB</t>
        </r>
      </text>
    </comment>
    <comment ref="A14" authorId="1" shapeId="0">
      <text>
        <r>
          <rPr>
            <b/>
            <sz val="9"/>
            <color indexed="81"/>
            <rFont val="Tahoma"/>
            <family val="2"/>
          </rPr>
          <t>CPMSVLLD</t>
        </r>
      </text>
    </comment>
    <comment ref="A20" authorId="1" shapeId="0">
      <text>
        <r>
          <rPr>
            <b/>
            <sz val="9"/>
            <color indexed="81"/>
            <rFont val="Tahoma"/>
            <family val="2"/>
          </rPr>
          <t>CPTQTB</t>
        </r>
      </text>
    </comment>
    <comment ref="A25" authorId="1" shapeId="0">
      <text>
        <r>
          <rPr>
            <b/>
            <sz val="9"/>
            <color indexed="81"/>
            <rFont val="Tahoma"/>
            <family val="2"/>
          </rPr>
          <t>VTXDNN</t>
        </r>
      </text>
    </comment>
    <comment ref="A26" authorId="1" shapeId="0">
      <text>
        <r>
          <rPr>
            <b/>
            <sz val="9"/>
            <color indexed="81"/>
            <rFont val="Tahoma"/>
            <family val="2"/>
          </rPr>
          <t>CPMSVL</t>
        </r>
      </text>
    </comment>
    <comment ref="A33" authorId="1" shapeId="0">
      <text>
        <r>
          <rPr>
            <b/>
            <sz val="9"/>
            <color indexed="81"/>
            <rFont val="Tahoma"/>
            <family val="2"/>
          </rPr>
          <t>CPMSSPCK</t>
        </r>
      </text>
    </comment>
    <comment ref="A40" authorId="1" shapeId="0">
      <text>
        <r>
          <rPr>
            <b/>
            <sz val="9"/>
            <color indexed="81"/>
            <rFont val="Tahoma"/>
            <family val="2"/>
          </rPr>
          <t>CPTQVLSP</t>
        </r>
      </text>
    </comment>
    <comment ref="A45" authorId="2" shapeId="0">
      <text>
        <r>
          <rPr>
            <b/>
            <sz val="9"/>
            <color indexed="81"/>
            <rFont val="Tahoma"/>
            <family val="2"/>
          </rPr>
          <t>END</t>
        </r>
      </text>
    </comment>
  </commentList>
</comments>
</file>

<file path=xl/comments34.xml><?xml version="1.0" encoding="utf-8"?>
<comments xmlns="http://schemas.openxmlformats.org/spreadsheetml/2006/main">
  <authors>
    <author>TieuBob</author>
  </authors>
  <commentList>
    <comment ref="A15" authorId="0" shapeId="0">
      <text>
        <r>
          <rPr>
            <b/>
            <sz val="9"/>
            <color indexed="81"/>
            <rFont val="Tahoma"/>
            <family val="2"/>
          </rPr>
          <t>END</t>
        </r>
      </text>
    </comment>
  </commentList>
</comments>
</file>

<file path=xl/comments35.xml><?xml version="1.0" encoding="utf-8"?>
<comments xmlns="http://schemas.openxmlformats.org/spreadsheetml/2006/main">
  <authors>
    <author>User</author>
    <author>My PC</author>
  </authors>
  <commentList>
    <comment ref="A17" authorId="0" shapeId="0">
      <text>
        <r>
          <rPr>
            <b/>
            <sz val="9"/>
            <color indexed="81"/>
            <rFont val="Tahoma"/>
            <family val="2"/>
          </rPr>
          <t>MAU</t>
        </r>
      </text>
    </comment>
    <comment ref="A26" authorId="1" shapeId="0">
      <text>
        <r>
          <rPr>
            <b/>
            <sz val="9"/>
            <color indexed="81"/>
            <rFont val="Tahoma"/>
            <family val="2"/>
          </rPr>
          <t>END_AN</t>
        </r>
      </text>
    </comment>
    <comment ref="A28" authorId="0" shapeId="0">
      <text>
        <r>
          <rPr>
            <b/>
            <sz val="9"/>
            <color indexed="81"/>
            <rFont val="Tahoma"/>
            <family val="2"/>
          </rPr>
          <t>END_MAU</t>
        </r>
      </text>
    </comment>
    <comment ref="A30" authorId="0" shapeId="0">
      <text>
        <r>
          <rPr>
            <b/>
            <sz val="9"/>
            <color indexed="81"/>
            <rFont val="Tahoma"/>
            <family val="2"/>
          </rPr>
          <t>END</t>
        </r>
      </text>
    </comment>
    <comment ref="A46" authorId="0" shapeId="0">
      <text>
        <r>
          <rPr>
            <b/>
            <sz val="9"/>
            <color indexed="81"/>
            <rFont val="Tahoma"/>
            <family val="2"/>
          </rPr>
          <t>MAU</t>
        </r>
      </text>
    </comment>
    <comment ref="A55" authorId="1" shapeId="0">
      <text>
        <r>
          <rPr>
            <b/>
            <sz val="9"/>
            <color indexed="81"/>
            <rFont val="Tahoma"/>
            <family val="2"/>
          </rPr>
          <t>END_AN</t>
        </r>
      </text>
    </comment>
    <comment ref="A57" authorId="0" shapeId="0">
      <text>
        <r>
          <rPr>
            <b/>
            <sz val="9"/>
            <color indexed="81"/>
            <rFont val="Tahoma"/>
            <family val="2"/>
          </rPr>
          <t>END_MAU</t>
        </r>
      </text>
    </comment>
    <comment ref="A59" authorId="0" shapeId="0">
      <text>
        <r>
          <rPr>
            <b/>
            <sz val="9"/>
            <color indexed="81"/>
            <rFont val="Tahoma"/>
            <family val="2"/>
          </rPr>
          <t>END</t>
        </r>
      </text>
    </comment>
  </commentList>
</comments>
</file>

<file path=xl/comments36.xml><?xml version="1.0" encoding="utf-8"?>
<comments xmlns="http://schemas.openxmlformats.org/spreadsheetml/2006/main">
  <authors>
    <author>NGOCBICH</author>
    <author>TheAnh</author>
  </authors>
  <commentList>
    <comment ref="B2" authorId="0" shapeId="0">
      <text>
        <r>
          <rPr>
            <b/>
            <sz val="9"/>
            <color indexed="81"/>
            <rFont val="Tahoma"/>
            <family val="2"/>
          </rPr>
          <t>DT</t>
        </r>
      </text>
    </comment>
    <comment ref="A30" authorId="1" shapeId="0">
      <text>
        <r>
          <rPr>
            <b/>
            <sz val="9"/>
            <color indexed="81"/>
            <rFont val="Tahoma"/>
            <family val="2"/>
            <charset val="163"/>
          </rPr>
          <t>END</t>
        </r>
      </text>
    </comment>
  </commentList>
</comments>
</file>

<file path=xl/comments37.xml><?xml version="1.0" encoding="utf-8"?>
<comments xmlns="http://schemas.openxmlformats.org/spreadsheetml/2006/main">
  <authors>
    <author>User</author>
  </authors>
  <commentList>
    <comment ref="A7" authorId="0" shapeId="0">
      <text>
        <r>
          <rPr>
            <b/>
            <sz val="9"/>
            <color indexed="81"/>
            <rFont val="Tahoma"/>
            <family val="2"/>
          </rPr>
          <t>END</t>
        </r>
      </text>
    </comment>
  </commentList>
</comments>
</file>

<file path=xl/comments38.xml><?xml version="1.0" encoding="utf-8"?>
<comments xmlns="http://schemas.openxmlformats.org/spreadsheetml/2006/main">
  <authors>
    <author>Nguyễn Thế Anh</author>
    <author>LapTop</author>
  </authors>
  <commentList>
    <comment ref="F5" authorId="0" shapeId="0">
      <text>
        <r>
          <rPr>
            <sz val="12"/>
            <color indexed="81"/>
            <rFont val="Tahoma"/>
            <family val="2"/>
          </rPr>
          <t>Quy định trong Định mức ban hành theo Thông tư 12/2021/TT-BXD</t>
        </r>
        <r>
          <rPr>
            <sz val="9"/>
            <color indexed="81"/>
            <rFont val="Tahoma"/>
            <family val="2"/>
          </rPr>
          <t xml:space="preserve">
</t>
        </r>
      </text>
    </comment>
    <comment ref="G5" authorId="1" shapeId="0">
      <text>
        <r>
          <rPr>
            <sz val="12"/>
            <color indexed="81"/>
            <rFont val="Tahoma"/>
            <family val="2"/>
          </rPr>
          <t>Cột này phải có số liệu. Đơn vị của vật liệu trong định mức công việc có thể khác với đơn vị theo định mức vận chuyển. Vì vậy phải quy đổi đơn vị cho đồng thứ nguyên thì tính toán mới đúng.
Bạn kiểm tra cần quy đổi từ Đơn vị của vật liệu mã AM quy định trong Định mức Thông tư 12/2021/TT-BXD so với Đơn vị vật liệu theo định mức phần mềm đổ ra.</t>
        </r>
      </text>
    </comment>
    <comment ref="H5"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B5" authorId="0" shapeId="0">
      <text>
        <r>
          <rPr>
            <sz val="14"/>
            <color indexed="81"/>
            <rFont val="Tahoma"/>
            <family val="2"/>
          </rPr>
          <t xml:space="preserve">Kích phải để nhập số liệu vận chuyển
Gõ dấu = và Enter để sao chép dữ liệu vận chuyển từ một vật liệu sang vật liệu khác </t>
        </r>
      </text>
    </comment>
    <comment ref="AF5" authorId="1" shapeId="0">
      <text>
        <r>
          <rPr>
            <b/>
            <sz val="10"/>
            <color indexed="81"/>
            <rFont val="Tahoma"/>
            <family val="2"/>
          </rPr>
          <t>Cột này phải có số liệu.
Bạn kiểm tra Quy đổi từ Đơn vị của vật liệu mã AM quy định trong Định mức TT12/2021/TT-BXD so với Đơn vị phần mềm đổ ra</t>
        </r>
      </text>
    </comment>
  </commentList>
</comments>
</file>

<file path=xl/comments39.xml><?xml version="1.0" encoding="utf-8"?>
<comments xmlns="http://schemas.openxmlformats.org/spreadsheetml/2006/main">
  <authors>
    <author>Nguyễn Văn Toàn</author>
  </authors>
  <commentList>
    <comment ref="A7" authorId="0" shapeId="0">
      <text>
        <r>
          <rPr>
            <sz val="9"/>
            <color indexed="81"/>
            <rFont val="Tahoma"/>
            <family val="2"/>
          </rPr>
          <t>END</t>
        </r>
      </text>
    </comment>
  </commentList>
</comments>
</file>

<file path=xl/comments40.xml><?xml version="1.0" encoding="utf-8"?>
<comments xmlns="http://schemas.openxmlformats.org/spreadsheetml/2006/main">
  <authors>
    <author>Nguyễn Văn Toàn</author>
  </authors>
  <commentList>
    <comment ref="A7" authorId="0" shapeId="0">
      <text>
        <r>
          <rPr>
            <sz val="9"/>
            <color indexed="81"/>
            <rFont val="Tahoma"/>
            <family val="2"/>
          </rPr>
          <t>END</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<sst xmlns="http://schemas.openxmlformats.org/spreadsheetml/2006/main" count="9072" uniqueCount="2139">
  <si>
    <t>Tổng hợp dự toán theo dạng bảng</t>
  </si>
  <si>
    <t>Hiển thị trang tin khi khởi động</t>
  </si>
  <si>
    <t>Phân tích đơn giá khảo sát</t>
  </si>
  <si>
    <t>Tùy chọn kết xuất dữ liệu</t>
  </si>
  <si>
    <t>Chi phí chỗ ở tạm thời (Gnt)</t>
  </si>
  <si>
    <t>Đổi nhóm nhân công toàn bộ</t>
  </si>
  <si>
    <t>Nối giá vật liệu từ bảng Giá vật liệu đến hiện trường</t>
  </si>
  <si>
    <t>Nối giá nhân công từ bảng Lương nhân công</t>
  </si>
  <si>
    <t>Nối giá ca máy từ bảng Giá ca máy</t>
  </si>
  <si>
    <t>Nối giá vật tư từ bảng Tổng hợp và Chênh lệch</t>
  </si>
  <si>
    <t>Nối giá vật tư từ bảng Giá trị vật tư</t>
  </si>
  <si>
    <t>Nối giá vữa từ bảng Phụ lục vữa</t>
  </si>
  <si>
    <t>Nối đơn giá với bảng Dự toán</t>
  </si>
  <si>
    <t>Sử dụng phụ lục vữa</t>
  </si>
  <si>
    <t>Tính Giá ca máy</t>
  </si>
  <si>
    <t>Phương pháp lập dự toán</t>
  </si>
  <si>
    <t>Lựa chọn nhóm nhân công</t>
  </si>
  <si>
    <t>Chiết tính đơn giá hàng ngang</t>
  </si>
  <si>
    <t>HAO PHÍ KHÁC</t>
  </si>
  <si>
    <t>Chi phí trực tiếp/Chi phí nhân công (1: Giá trị được chọn; 0: giá trị bỏ chọn)</t>
  </si>
  <si>
    <t>PHƯƠNG TIỆN VẬN CHUYỂN</t>
  </si>
  <si>
    <t>Đơn giá khảo sát sau thuế (Gks)</t>
  </si>
  <si>
    <t>Đơn giá khảo sát trước thuế (Gt)</t>
  </si>
  <si>
    <t>Chi phí trực tiếp (Ct)</t>
  </si>
  <si>
    <t>Chi phí chung (P)</t>
  </si>
  <si>
    <t>Thu nhập chịu thuế tính trước (Lt)</t>
  </si>
  <si>
    <t>Giá thành khảo sát (G)</t>
  </si>
  <si>
    <t>Tính giá vật liệu hiện trường khi phân tích toàn bộ</t>
  </si>
  <si>
    <t>Chi phí lập phương án, báo cáo khảo sát (Gpa+Gbc)</t>
  </si>
  <si>
    <t>Chi phí chuyển máy, thiết bị (Gdc)</t>
  </si>
  <si>
    <t>BẢNG TÍNH BÙ GIÁ CA MÁY THEO PHƯƠNG PHÁP BÙ TRỰC TIẾP</t>
  </si>
  <si>
    <t>VAT</t>
  </si>
  <si>
    <t>LOẠI CÔNG TRÌNH</t>
  </si>
  <si>
    <t>TT</t>
  </si>
  <si>
    <t>Công trình dân dụng</t>
  </si>
  <si>
    <t>Công trình công nghiệp</t>
  </si>
  <si>
    <t>Công trình giao thông</t>
  </si>
  <si>
    <t>Hệ số vật liệu</t>
  </si>
  <si>
    <t>Công trình hạ tầng kỹ thuật</t>
  </si>
  <si>
    <t>Hệ số nhân công</t>
  </si>
  <si>
    <t>Hệ số máy xây dựng</t>
  </si>
  <si>
    <t>Định mức thu nhập chịu thuế tính trước (TL)</t>
  </si>
  <si>
    <t>NỘI DUNG CHI PHÍ</t>
  </si>
  <si>
    <t>ĐMTL</t>
  </si>
  <si>
    <t>CÁCH TÍNH</t>
  </si>
  <si>
    <t>CHI PHÍ TRƯỚC THUẾ</t>
  </si>
  <si>
    <t>THUẾ GTGT</t>
  </si>
  <si>
    <t>CHI PHÍ SAU THUẾ</t>
  </si>
  <si>
    <t>bảng tính</t>
  </si>
  <si>
    <t>Tổng cộng:</t>
  </si>
  <si>
    <t>(1)+(2)+(3)+(4)+(5)+(6)</t>
  </si>
  <si>
    <t>NGƯỜI LẬP</t>
  </si>
  <si>
    <t>NGƯỜI CHỦ TRÌ</t>
  </si>
  <si>
    <t>Chứng chỉ KS định giá XD hạng …, số …</t>
  </si>
  <si>
    <t>BẢNG TỔNG HỢP CHI PHÍ KHÁC</t>
  </si>
  <si>
    <t>Ghi chú:</t>
  </si>
  <si>
    <t>BẢNG 1: PHÂN BỔ VỐN ĐẦU TƯ THEO TIẾN ĐỘ THỰC HIỆN</t>
  </si>
  <si>
    <t>Nội dung</t>
  </si>
  <si>
    <t>Mức phân bổ vốn từng năm (%)</t>
  </si>
  <si>
    <t>Vốn phân bổ (tỷ đồng)</t>
  </si>
  <si>
    <t>Chỉ tiêu</t>
  </si>
  <si>
    <t>BẢNG 3: TÍNH CHI PHÍ DỰ PHÒNG CHO YẾU TỐ TRƯỢT GIÁ</t>
  </si>
  <si>
    <t>Chi phí thực hiện dự án theo tiến độ chưa có trượt giá (tỷ đồng)</t>
  </si>
  <si>
    <t>Chi phí thực hiện dự án theo tiến độ đã có trượt giá</t>
  </si>
  <si>
    <t>Trượt giá từng năm</t>
  </si>
  <si>
    <t>BẢNG TÍNH NỘI SUY CÁC ĐỊNH MỨC TỶ LỆ</t>
  </si>
  <si>
    <t>Đơn vị tính: Tỷ lệ %</t>
  </si>
  <si>
    <t>Loại công trình</t>
  </si>
  <si>
    <t>Chi phí xây dựng và thiết bị (chưa có thuế GTGT) (tỷ đồng)</t>
  </si>
  <si>
    <t>Ga</t>
  </si>
  <si>
    <t>Gb</t>
  </si>
  <si>
    <t>Na</t>
  </si>
  <si>
    <t>Nb</t>
  </si>
  <si>
    <t>I</t>
  </si>
  <si>
    <t>Chi phí quản lý dự án</t>
  </si>
  <si>
    <t>II</t>
  </si>
  <si>
    <r>
      <t>G</t>
    </r>
    <r>
      <rPr>
        <vertAlign val="subscript"/>
        <sz val="12"/>
        <rFont val="Times New Roman"/>
        <family val="1"/>
      </rPr>
      <t>LD</t>
    </r>
  </si>
  <si>
    <t>III</t>
  </si>
  <si>
    <t>GT</t>
  </si>
  <si>
    <t>TL</t>
  </si>
  <si>
    <t>IV</t>
  </si>
  <si>
    <t>Cấp công trình</t>
  </si>
  <si>
    <t>Thiết kế 3 bước</t>
  </si>
  <si>
    <t>Cấp đặc biệt</t>
  </si>
  <si>
    <t>Thiết kế 2 bước</t>
  </si>
  <si>
    <t>Cấp I</t>
  </si>
  <si>
    <t>Cấp II</t>
  </si>
  <si>
    <t>Bước thiết kế</t>
  </si>
  <si>
    <t>Cấp III</t>
  </si>
  <si>
    <t>Cấp IV</t>
  </si>
  <si>
    <t>Loại chi phí</t>
  </si>
  <si>
    <t>BẢNG TỔNG HỢP DỰ TOÁN CHI PHÍ XÂY DỰNG</t>
  </si>
  <si>
    <t>KHOẢN MỤC CHI PHÍ</t>
  </si>
  <si>
    <t>GIÁ TRỊ</t>
  </si>
  <si>
    <t>KÝ HIỆU</t>
  </si>
  <si>
    <t>CHI PHÍ THEO ĐƠN GIÁ</t>
  </si>
  <si>
    <t>Chi phí vật liệu</t>
  </si>
  <si>
    <t>A</t>
  </si>
  <si>
    <t>Chênh lệch vật liệu</t>
  </si>
  <si>
    <t>Chi phí nhân công</t>
  </si>
  <si>
    <t>Chi phí máy xây dựng</t>
  </si>
  <si>
    <t>C</t>
  </si>
  <si>
    <t>Chênh lệch máy xây dựng</t>
  </si>
  <si>
    <t>CLM</t>
  </si>
  <si>
    <t>CHI PHÍ TRỰC TIẾP</t>
  </si>
  <si>
    <t>VL</t>
  </si>
  <si>
    <t>NC</t>
  </si>
  <si>
    <t>Chi phí máy thi công</t>
  </si>
  <si>
    <t>M</t>
  </si>
  <si>
    <t>Chi phí trực tiếp</t>
  </si>
  <si>
    <t>T</t>
  </si>
  <si>
    <t>CHI PHÍ CHUNG</t>
  </si>
  <si>
    <t>THU NHẬP CHỊU THUẾ TÍNH TRƯỚC</t>
  </si>
  <si>
    <t>Chi phí xây dựng trước thuế</t>
  </si>
  <si>
    <t>G</t>
  </si>
  <si>
    <t>THUẾ GIÁ TRỊ GIA TĂNG</t>
  </si>
  <si>
    <t>GTGT</t>
  </si>
  <si>
    <t>Chi phí xây dựng sau thuế</t>
  </si>
  <si>
    <t>TỔNG CỘNG</t>
  </si>
  <si>
    <t>BẢNG DỰ TOÁN CHI PHÍ XÂY DỰNG</t>
  </si>
  <si>
    <t>MÃ HIỆU</t>
  </si>
  <si>
    <t>NỘI DUNG CÔNG VIỆC</t>
  </si>
  <si>
    <t>ĐƠN VỊ</t>
  </si>
  <si>
    <t>ĐƠN GIÁ</t>
  </si>
  <si>
    <t>THÀNH TIỀN</t>
  </si>
  <si>
    <t>SỐ BỘ PHẬN GIỐNG NHAU</t>
  </si>
  <si>
    <t>KÍCH THƯỚC</t>
  </si>
  <si>
    <t>HỆ SỐ</t>
  </si>
  <si>
    <t>K.L MỘT BỘ PHẬN</t>
  </si>
  <si>
    <t>K.L TOÀN BỘ</t>
  </si>
  <si>
    <t>GHI CHÚ</t>
  </si>
  <si>
    <t>ĐỊNH MỨC</t>
  </si>
  <si>
    <t>DÀI</t>
  </si>
  <si>
    <t>RỘNG</t>
  </si>
  <si>
    <t>CAO (SÂU)</t>
  </si>
  <si>
    <t>MSVT</t>
  </si>
  <si>
    <t>KHỐI LƯỢNG</t>
  </si>
  <si>
    <t>HAO PHÍ</t>
  </si>
  <si>
    <t>TÊN VẬT TƯ</t>
  </si>
  <si>
    <t>CHÊNH LỆCH</t>
  </si>
  <si>
    <t>BẢNG PHÂN TÍCH ĐƠN GIÁ CHI TIẾT</t>
  </si>
  <si>
    <t>LOẠI VẬT LIỆU</t>
  </si>
  <si>
    <t>TRỌNG LƯỢNG ĐƠN VỊ</t>
  </si>
  <si>
    <t>LOẠI ĐƯỜNG</t>
  </si>
  <si>
    <t>CỰ LY (Km)</t>
  </si>
  <si>
    <t>MÃ VỮA</t>
  </si>
  <si>
    <t>ĐƠN VỊ TÍNH</t>
  </si>
  <si>
    <t xml:space="preserve"> </t>
  </si>
  <si>
    <t>Khấu hao</t>
  </si>
  <si>
    <t>Sửa chữa</t>
  </si>
  <si>
    <t>Chi phí khác</t>
  </si>
  <si>
    <t>GIÁ CA MÁY GỐC</t>
  </si>
  <si>
    <t>ĐƠN GIÁ
TRƯỚC THUẾ</t>
  </si>
  <si>
    <t>THÀNH TIỀN
TRƯỚC THUẾ</t>
  </si>
  <si>
    <t>THÀNH TIỀN
SAU THUẾ</t>
  </si>
  <si>
    <t>THUẾ SUẤT</t>
  </si>
  <si>
    <t>…</t>
  </si>
  <si>
    <t>ĐVT</t>
  </si>
  <si>
    <t>Chi phí đi lại</t>
  </si>
  <si>
    <t xml:space="preserve"> - Taxi</t>
  </si>
  <si>
    <t xml:space="preserve"> - Máy bay</t>
  </si>
  <si>
    <t xml:space="preserve"> - Tàu</t>
  </si>
  <si>
    <t>Chi phí ăn, ở</t>
  </si>
  <si>
    <t>Chi phí đào tạo</t>
  </si>
  <si>
    <t>Chi phí tài liệu học tập</t>
  </si>
  <si>
    <t>Chi phí chuyên gia giảng dạy</t>
  </si>
  <si>
    <t>...</t>
  </si>
  <si>
    <t>Chi phí chung, chi phí quản lý</t>
  </si>
  <si>
    <t>Chi phí dự phòng</t>
  </si>
  <si>
    <t>Tổng cộng [I + II + ... + III]:</t>
  </si>
  <si>
    <t>LÀM TRÒN (Gdtcg):</t>
  </si>
  <si>
    <t>BẢNG TỔNG HỢP DỰ TOÁN CHI PHÍ LẮP ĐẶT THIẾT BỊ</t>
  </si>
  <si>
    <t>Chi phí lắp đặt thiết bị trước thuế</t>
  </si>
  <si>
    <t>Chi phí lắp đặt thiết bị sau thuế</t>
  </si>
  <si>
    <t>BẢNG DỰ TOÁN CHI PHÍ LẮP ĐẶT THIẾT BỊ</t>
  </si>
  <si>
    <t>K.L TOÀN BỘ PHẬN</t>
  </si>
  <si>
    <t>CAO (sâu)</t>
  </si>
  <si>
    <r>
      <t>G</t>
    </r>
    <r>
      <rPr>
        <vertAlign val="subscript"/>
        <sz val="12"/>
        <rFont val="Times New Roman"/>
        <family val="1"/>
      </rPr>
      <t>XD</t>
    </r>
  </si>
  <si>
    <t>HS1</t>
  </si>
  <si>
    <t>BẢNG TỔNG HỢP VÀ TÍNH CHÊNH LỆCH VẬT TƯ LẮP ĐẶT THIẾT BỊ</t>
  </si>
  <si>
    <t>BẢNG PHÂN TÍCH ĐƠN GIÁ CHI TIẾT LẮP ĐẶT THIẾT BỊ</t>
  </si>
  <si>
    <t>BẢNG TÍNH GIÁ VẬT LIỆU ĐẾN HIỆN TRƯỜNG LẮP ĐẶT THIẾT BỊ</t>
  </si>
  <si>
    <t>BẢNG TÍNH GIÁ VẬT LIỆU ĐẾN HIỆN TRƯỜNG XÂY DỰNG</t>
  </si>
  <si>
    <t>BẢNG GIÁ CA MÁY VÀ THIẾT BỊ THI CÔNG XÂY DỰNG</t>
  </si>
  <si>
    <t>BẢNG GIÁ CA MÁY VÀ THIẾT BỊ THI CÔNG LẮP ĐẶT THIẾT BỊ</t>
  </si>
  <si>
    <t>BẢNG DỰ TOÁN DỰ THẦU LẮP ĐẶT THIẾT BỊ</t>
  </si>
  <si>
    <t>BẢNG DỰ TOÁN DỰ THẦU THI CÔNG XÂY DỰNG</t>
  </si>
  <si>
    <t>MÃ HIỆU ĐỊNH MỨC</t>
  </si>
  <si>
    <t>MÃ HIỆU
ĐƠN GIÁ</t>
  </si>
  <si>
    <t>ĐỊNH MỨC
HAO PHÍ</t>
  </si>
  <si>
    <t>TÊN CÔNG VIỆC / THÀNH PHẦN HAO PHÍ</t>
  </si>
  <si>
    <t>Ap</t>
  </si>
  <si>
    <t>HS2</t>
  </si>
  <si>
    <t>THÔNG TIN CHUNG</t>
  </si>
  <si>
    <t>CÁC HỆ SỐ, ĐỊNH MỨC TỶ LỆ</t>
  </si>
  <si>
    <t>B</t>
  </si>
  <si>
    <t>STT</t>
  </si>
  <si>
    <t>DỰ TOÁN CHI PHÍ XÂY DỰNG</t>
  </si>
  <si>
    <t>CÔNG TY CP GIÁ XÂY DỰNG</t>
  </si>
  <si>
    <t>CỘNG HOÀ XÃ HỘI CHỦ NGHĨA VIỆT NAM</t>
  </si>
  <si>
    <t>WWW.GIAXAYDUNG.VN</t>
  </si>
  <si>
    <t>Độc lập - Tự do - Hạnh phúc</t>
  </si>
  <si>
    <t>DỰ TOÁN XÂY DỰNG CÔNG TRÌNH</t>
  </si>
  <si>
    <t>Số : ……./…….</t>
  </si>
  <si>
    <t>CÔNG TRÌNH:</t>
  </si>
  <si>
    <t>ĐỊA ĐIỂM:</t>
  </si>
  <si>
    <t>CHỦ ĐẦU TƯ:</t>
  </si>
  <si>
    <t xml:space="preserve">          Số : ……./……….</t>
  </si>
  <si>
    <t>Giá trị dự toán:</t>
  </si>
  <si>
    <t>đồng</t>
  </si>
  <si>
    <t xml:space="preserve">Hà Nội, </t>
  </si>
  <si>
    <t>GIÁM ĐỐC</t>
  </si>
  <si>
    <t>NGUYỄN THÀNH CÔNG</t>
  </si>
  <si>
    <t>THUYẾT MINH LẬP DỰ TOÁN</t>
  </si>
  <si>
    <t xml:space="preserve">  1. Các văn bản:</t>
  </si>
  <si>
    <t xml:space="preserve">  3. Đơn giá áp dụng:</t>
  </si>
  <si>
    <t>Thiết kế 1 bước</t>
  </si>
  <si>
    <t>Các dòng chi phí</t>
  </si>
  <si>
    <t>Chi phí trực tiếp khác (TT)</t>
  </si>
  <si>
    <t>Chi phí trực tiếp (T)</t>
  </si>
  <si>
    <t>Chi phí chung (C)</t>
  </si>
  <si>
    <t>Thu nhập chịu thuế tính trước (TL)</t>
  </si>
  <si>
    <t>Thuế giá trị gia tăng (GTGT)</t>
  </si>
  <si>
    <t>Các định nghĩa trong phần mềm</t>
  </si>
  <si>
    <t>Vật liệu</t>
  </si>
  <si>
    <t>Nhân công</t>
  </si>
  <si>
    <t>Vật liệu khác</t>
  </si>
  <si>
    <t>Máy khác</t>
  </si>
  <si>
    <t>Máy thi công</t>
  </si>
  <si>
    <t>Vật liệu phụ</t>
  </si>
  <si>
    <t>BẢNG DỰ TOÁN</t>
  </si>
  <si>
    <t>BẢNG TIÊN LƯỢNG</t>
  </si>
  <si>
    <t>Tổng cộng</t>
  </si>
  <si>
    <t>ĐỊNH MỨC KHẤU HAO, SỬA CHỮA, CHI PHÍ KHÁC / NĂM (%/GIÁ TÍNH KH)</t>
  </si>
  <si>
    <t>CP #</t>
  </si>
  <si>
    <t>NGUYÊN GIÁ (GIÁ TÍNH KHẤU HAO)</t>
  </si>
  <si>
    <t>LOẠI MÁY, THIẾT BỊ</t>
  </si>
  <si>
    <t>SỐ CA/ NĂM</t>
  </si>
  <si>
    <t>THÀNH PHẦN CẤP BẬC THỢ ĐIỀU KHIỂN MÁY</t>
  </si>
  <si>
    <t>CHI PHÍ TIỀN LƯƠNG TẠI THỜI ĐIỂM GỐC</t>
  </si>
  <si>
    <t>CHI PHÍ NHIỀN LIỆU, NĂNG LƯỢNG TẠI THỜI ĐIỂM ĐIỀU CHỈNH</t>
  </si>
  <si>
    <t>HỆ SỐ NHIÊN LIỆU PHỤ</t>
  </si>
  <si>
    <t>CHI PHÍ TIỀN LƯƠNG TẠI THỜI ĐIỂM ĐIỀU CHỈNH</t>
  </si>
  <si>
    <t>CHI PHÍ NHIÊN LIỆU, NĂNG LƯỢNG TẠI THỜI ĐIỂM GỐC</t>
  </si>
  <si>
    <r>
      <t>GIÁ CA MÁY ĐIỀU CHỈNH (C</t>
    </r>
    <r>
      <rPr>
        <b/>
        <vertAlign val="subscript"/>
        <sz val="9"/>
        <color indexed="10"/>
        <rFont val="Arial"/>
        <family val="2"/>
      </rPr>
      <t>CMĐC</t>
    </r>
    <r>
      <rPr>
        <b/>
        <sz val="9"/>
        <color indexed="10"/>
        <rFont val="Arial"/>
        <family val="2"/>
      </rPr>
      <t>)</t>
    </r>
  </si>
  <si>
    <t>LOẠI NHÂN CÔNG</t>
  </si>
  <si>
    <t>GIÁ VẬT TƯ GỐC</t>
  </si>
  <si>
    <t xml:space="preserve">CÔNG TRÌNH: </t>
  </si>
  <si>
    <t xml:space="preserve">HẠNG MỤC: </t>
  </si>
  <si>
    <t>PHÂN TÍCH HAO PHÍ VẬT TƯ THEO ĐỊNH MỨC</t>
  </si>
  <si>
    <t>BẢNG TÍNH BÙ GIÁ CA MÁY (ĐƠN GIẢN)</t>
  </si>
  <si>
    <t>Giá trị dự toán</t>
  </si>
  <si>
    <t>MHVB</t>
  </si>
  <si>
    <t>Xăng (đ/lít)</t>
  </si>
  <si>
    <t>Điện (đ/kw)</t>
  </si>
  <si>
    <t>Chênh lệch nhân công</t>
  </si>
  <si>
    <t>CLNC</t>
  </si>
  <si>
    <t>Tra lại tên công việc khi thay đổi mã đơn giá</t>
  </si>
  <si>
    <t>Tính lại khi đơn giá khi thay đổi mã vữa</t>
  </si>
  <si>
    <t>Tổng hợp theo tên vật tư</t>
  </si>
  <si>
    <t>Bóc thép theo diễn giải</t>
  </si>
  <si>
    <t>Phân tích đơn giá chi tiết theo vữa</t>
  </si>
  <si>
    <t>Tính ĐGCT theo đơn giá đầy đủ</t>
  </si>
  <si>
    <t>Dùng hệ số trong đơn giá chi tiết</t>
  </si>
  <si>
    <t>CLVL</t>
  </si>
  <si>
    <t>ĐGVL</t>
  </si>
  <si>
    <t>ĐGNC</t>
  </si>
  <si>
    <t>ĐGM</t>
  </si>
  <si>
    <t>ĐGVLP</t>
  </si>
  <si>
    <t>BIỂU MỨC THU PHÍ THẨM ĐỊNH DỰ ÁN ĐẦU TƯ XÂY DỰNG</t>
  </si>
  <si>
    <t>Tổng mức đầu tư DA (tỷ đ)</t>
  </si>
  <si>
    <t>Tỷ lệ %</t>
  </si>
  <si>
    <t>GIÁ VẬT TƯ TẠI THỜI ĐIỂM LẬP DỰ TOÁN</t>
  </si>
  <si>
    <t>[1]</t>
  </si>
  <si>
    <t>[1a]</t>
  </si>
  <si>
    <t>[1b]</t>
  </si>
  <si>
    <t>[2]</t>
  </si>
  <si>
    <t>[3]</t>
  </si>
  <si>
    <t>[4]</t>
  </si>
  <si>
    <t>[5]</t>
  </si>
  <si>
    <t>[6]</t>
  </si>
  <si>
    <t>[6']</t>
  </si>
  <si>
    <t>[7]</t>
  </si>
  <si>
    <t>[8]</t>
  </si>
  <si>
    <t>[9]=[5]*[6]</t>
  </si>
  <si>
    <t>[9']=[5]*[6']</t>
  </si>
  <si>
    <t>[10]=[5]*[7]</t>
  </si>
  <si>
    <t>[11]=[5]*[8]</t>
  </si>
  <si>
    <t>[9]</t>
  </si>
  <si>
    <t>[9']</t>
  </si>
  <si>
    <t>[8]=[7]-[6]</t>
  </si>
  <si>
    <t>[9]=[5]*[8]</t>
  </si>
  <si>
    <t>[10]</t>
  </si>
  <si>
    <t>[11]</t>
  </si>
  <si>
    <t>[12]</t>
  </si>
  <si>
    <t>[13]</t>
  </si>
  <si>
    <t>[14]</t>
  </si>
  <si>
    <t>[15]</t>
  </si>
  <si>
    <t>[16]</t>
  </si>
  <si>
    <t>[17]</t>
  </si>
  <si>
    <t>[18]</t>
  </si>
  <si>
    <t>[19]</t>
  </si>
  <si>
    <t>[8]=[6]*[7]</t>
  </si>
  <si>
    <t>[7]=[5]*[6]</t>
  </si>
  <si>
    <t>TC</t>
  </si>
  <si>
    <t>Cộng</t>
  </si>
  <si>
    <t>Hạng mục xây dựng</t>
  </si>
  <si>
    <t>Hạng mục thiết bị</t>
  </si>
  <si>
    <t>MÃ HIỆU ĐƠN GIÁ</t>
  </si>
  <si>
    <t>HẠNG MỤC</t>
  </si>
  <si>
    <t>ĐVT: đồng</t>
  </si>
  <si>
    <t>ĐVT: đồng/ca</t>
  </si>
  <si>
    <t>DỰ TOÁN LẮP ĐẶT THIẾT BỊ</t>
  </si>
  <si>
    <t>DỰ ÁN:</t>
  </si>
  <si>
    <t>Nội dung chi phí</t>
  </si>
  <si>
    <t>Số thanh</t>
  </si>
  <si>
    <t>Chiều dài (m)</t>
  </si>
  <si>
    <t>ĐK (mm)</t>
  </si>
  <si>
    <t>TL (kg/m)</t>
  </si>
  <si>
    <t>kg/m3</t>
  </si>
  <si>
    <t>BẢNG THỐNG KÊ CỐT THÉP</t>
  </si>
  <si>
    <t>M1</t>
  </si>
  <si>
    <t>NGUỒN</t>
  </si>
  <si>
    <t>Thông thường</t>
  </si>
  <si>
    <t>Chỉ số giá xây dựng (theo công bố của Sở Xây dựng hoặc cơ quan có thẩm quyền)</t>
  </si>
  <si>
    <t>6.1</t>
  </si>
  <si>
    <t>6.2</t>
  </si>
  <si>
    <t>Chi phí dự phòng cho yếu tố khối lượng phát sinh</t>
  </si>
  <si>
    <t>Chi phí dự phòng cho yếu tố trượt giá</t>
  </si>
  <si>
    <t>Chứng chỉ hành nghề định giá XD hạng …, số …</t>
  </si>
  <si>
    <t>Chi phí xây dựng</t>
  </si>
  <si>
    <t>Chi phí thiết bị</t>
  </si>
  <si>
    <t>Chi phí tư vấn đầu tư xây dựng</t>
  </si>
  <si>
    <t>VL+NC+M</t>
  </si>
  <si>
    <r>
      <t>G</t>
    </r>
    <r>
      <rPr>
        <vertAlign val="subscript"/>
        <sz val="12"/>
        <rFont val="Times New Roman"/>
        <family val="1"/>
      </rPr>
      <t>DP</t>
    </r>
  </si>
  <si>
    <t xml:space="preserve">Chứng chỉ hành nghề định giá XD hạng …, số …               </t>
  </si>
  <si>
    <r>
      <t>G</t>
    </r>
    <r>
      <rPr>
        <vertAlign val="subscript"/>
        <sz val="12"/>
        <rFont val="Times New Roman"/>
        <family val="1"/>
      </rPr>
      <t>GTXD</t>
    </r>
  </si>
  <si>
    <t>Chi phí chuyên gia</t>
  </si>
  <si>
    <t>Bảng tính</t>
  </si>
  <si>
    <t>Chi phí quản lý</t>
  </si>
  <si>
    <t>Làm tròn:</t>
  </si>
  <si>
    <t>Nguyễn Thế Anh</t>
  </si>
  <si>
    <t>Chuyên gia</t>
  </si>
  <si>
    <t>Chi phí đi khảo sát hiện trường</t>
  </si>
  <si>
    <t>- Internet</t>
  </si>
  <si>
    <t>Ghi chú</t>
  </si>
  <si>
    <t>Ccg</t>
  </si>
  <si>
    <t>Cql</t>
  </si>
  <si>
    <t>Ck</t>
  </si>
  <si>
    <t>TN</t>
  </si>
  <si>
    <t>Ctv</t>
  </si>
  <si>
    <t>Cdp</t>
  </si>
  <si>
    <t>Bảo hiểm thất nghiệp</t>
  </si>
  <si>
    <t>Kinh phí công đoàn</t>
  </si>
  <si>
    <t>Bảo hiểm xã hội</t>
  </si>
  <si>
    <t>Bảo hiểm y tế</t>
  </si>
  <si>
    <t>Nguyễn Thanh Tùng</t>
  </si>
  <si>
    <t>Phan Đăng Dũng</t>
  </si>
  <si>
    <t>[2']</t>
  </si>
  <si>
    <t>Đơn vị: Đồng/ngày công</t>
  </si>
  <si>
    <t>Chi phí xã hội</t>
  </si>
  <si>
    <t>CHI TIẾT LƯƠNG CHUYÊN GIA</t>
  </si>
  <si>
    <t>Tỷ lệ</t>
  </si>
  <si>
    <t>Mức lương tính lương cơ bản</t>
  </si>
  <si>
    <t>CG1</t>
  </si>
  <si>
    <t>CG2</t>
  </si>
  <si>
    <t>CG3</t>
  </si>
  <si>
    <t>Ngày công làm việc trong tháng</t>
  </si>
  <si>
    <t>CHI TIẾT CHI PHÍ KHÁC</t>
  </si>
  <si>
    <r>
      <t>LÀM TRÒN (G</t>
    </r>
    <r>
      <rPr>
        <b/>
        <vertAlign val="subscript"/>
        <sz val="10"/>
        <color indexed="9"/>
        <rFont val="Arial"/>
        <family val="2"/>
      </rPr>
      <t>K</t>
    </r>
    <r>
      <rPr>
        <b/>
        <sz val="10"/>
        <color indexed="9"/>
        <rFont val="Arial"/>
        <family val="2"/>
        <charset val="163"/>
      </rPr>
      <t>)</t>
    </r>
  </si>
  <si>
    <t>BẢNG CHI PHÍ DỰ PHÒNG DỰ TOÁN GÓI THẦU THIẾT BỊ</t>
  </si>
  <si>
    <t>Tỷ lệ % dự phòng phí gói thầu thi công xây dựng:</t>
  </si>
  <si>
    <t>BẢNG CHI PHÍ DỰ PHÒNG DỰ TOÁN GÓI THẦU THI CÔNG XÂY DỰNG</t>
  </si>
  <si>
    <t>Tỷ lệ % dự phòng phí gói thầu mua sắm vật tư, lắp đặt thiết bị:</t>
  </si>
  <si>
    <t>BẢNG TỔNG HỢP CHI PHÍ TƯ VẤN</t>
  </si>
  <si>
    <t>Công trình nông nghiệp và phát triển nông thôn</t>
  </si>
  <si>
    <t>Công trình tu bổ, phục hồi di tích lịch sử, văn hóa</t>
  </si>
  <si>
    <t>Công trình hầm giao thông</t>
  </si>
  <si>
    <t>Chi phí chung</t>
  </si>
  <si>
    <t>BẢNG ĐƠN GIÁ NHÂN CÔNG XÂY DỰNG</t>
  </si>
  <si>
    <t>BẢNG ĐƠN GIÁ NHÂN CÔNG LẮP ĐẶT THIẾT BỊ</t>
  </si>
  <si>
    <r>
      <t>G</t>
    </r>
    <r>
      <rPr>
        <vertAlign val="subscript"/>
        <sz val="12"/>
        <rFont val="Times New Roman"/>
        <family val="1"/>
      </rPr>
      <t>GTLD</t>
    </r>
  </si>
  <si>
    <t>KL vật tư khác</t>
  </si>
  <si>
    <t>Chênh lệch vật tư khác</t>
  </si>
  <si>
    <t>Thành tiền vật tư khác</t>
  </si>
  <si>
    <t>CÁC THÔNG SỐ VỀ CÔNG TRÌNH</t>
  </si>
  <si>
    <t xml:space="preserve">DỰ ÁN: </t>
  </si>
  <si>
    <t>Giá xăng</t>
  </si>
  <si>
    <t>Giá dầu Diezel</t>
  </si>
  <si>
    <t>Giá điện</t>
  </si>
  <si>
    <t>ID</t>
  </si>
  <si>
    <t>BẢNG PHÂN TÍCH ĐƠN GIÁ XÂY DỰNG TỔNG HỢP</t>
  </si>
  <si>
    <t>MH
ĐỊNH MỨC</t>
  </si>
  <si>
    <t>MH
ĐƠN GIÁ</t>
  </si>
  <si>
    <t>THÀNH PHẦN CÔNG VIỆC</t>
  </si>
  <si>
    <t>HAO PHÍ ĐỊNH MỨC</t>
  </si>
  <si>
    <t>GIÁ VẬT TƯ</t>
  </si>
  <si>
    <t>TN CT TÍNH TRƯỚC</t>
  </si>
  <si>
    <t>ĐƠN GIÁ XD TRƯỚC THUẾ</t>
  </si>
  <si>
    <t>ĐƠN GIÁ XD SAU THUẾ</t>
  </si>
  <si>
    <t>CHI PHÍ DỰ PHÒNG</t>
  </si>
  <si>
    <t>Máy</t>
  </si>
  <si>
    <t>[1']</t>
  </si>
  <si>
    <t>[1'']</t>
  </si>
  <si>
    <t>TH1</t>
  </si>
  <si>
    <t>Công tác tổng hợp 1</t>
  </si>
  <si>
    <t>Riêng công trình hầm giao thông</t>
  </si>
  <si>
    <t>Riêng công trình tu bổ, phục hồi di tích lịch sử, văn hoá</t>
  </si>
  <si>
    <t>Kb</t>
  </si>
  <si>
    <t>Ka</t>
  </si>
  <si>
    <t xml:space="preserve">       Đơn vị tính:  %</t>
  </si>
  <si>
    <t>Gt</t>
  </si>
  <si>
    <r>
      <t xml:space="preserve">Chi phí xây dựng trước thuế </t>
    </r>
    <r>
      <rPr>
        <sz val="14"/>
        <rFont val="Times New Roman"/>
        <family val="1"/>
      </rPr>
      <t>(G)</t>
    </r>
  </si>
  <si>
    <r>
      <t>Chi phí nhà tạm tại hiện trường để ở và điều hành thi công (G</t>
    </r>
    <r>
      <rPr>
        <vertAlign val="subscript"/>
        <sz val="14"/>
        <rFont val="Times New Roman"/>
        <family val="1"/>
      </rPr>
      <t>XDNT</t>
    </r>
    <r>
      <rPr>
        <sz val="14"/>
        <rFont val="Times New Roman"/>
        <family val="1"/>
      </rPr>
      <t>)</t>
    </r>
  </si>
  <si>
    <r>
      <t>Chi phí xây dựng sau thuế (G</t>
    </r>
    <r>
      <rPr>
        <vertAlign val="subscript"/>
        <sz val="14"/>
        <rFont val="Times New Roman"/>
        <family val="1"/>
      </rPr>
      <t>XD</t>
    </r>
    <r>
      <rPr>
        <sz val="14"/>
        <rFont val="Times New Roman"/>
        <family val="1"/>
      </rPr>
      <t>)</t>
    </r>
  </si>
  <si>
    <r>
      <t>Chi phí dự phòng (G</t>
    </r>
    <r>
      <rPr>
        <vertAlign val="subscript"/>
        <sz val="14"/>
        <rFont val="Times New Roman"/>
        <family val="1"/>
      </rPr>
      <t>DP</t>
    </r>
    <r>
      <rPr>
        <sz val="14"/>
        <rFont val="Times New Roman"/>
        <family val="1"/>
      </rPr>
      <t>)</t>
    </r>
  </si>
  <si>
    <t>Tên bảng</t>
  </si>
  <si>
    <t>Bảng dự toán</t>
  </si>
  <si>
    <t>Bảng tiên lượng</t>
  </si>
  <si>
    <t>Bảng giá ca máy đơn giản</t>
  </si>
  <si>
    <t>Bảng phân tích hao phí vật tư</t>
  </si>
  <si>
    <t>Bảng đơn giá chi tiết</t>
  </si>
  <si>
    <t>Bảng giá ca máy tính theo phương pháp bù trực tiếp</t>
  </si>
  <si>
    <t>Bảng giá ca máy mới</t>
  </si>
  <si>
    <t>Trạng thái</t>
  </si>
  <si>
    <t>Tên</t>
  </si>
  <si>
    <t>Các tùy chọn</t>
  </si>
  <si>
    <t>Các hệ số</t>
  </si>
  <si>
    <t>Name</t>
  </si>
  <si>
    <t>CF_HSVL</t>
  </si>
  <si>
    <t>CF_HSNC</t>
  </si>
  <si>
    <t>CF_HSM</t>
  </si>
  <si>
    <t>Khấu hao thiết bị văn phòng</t>
  </si>
  <si>
    <t xml:space="preserve"> - Máy tính + phần mềm bản quyền</t>
  </si>
  <si>
    <t xml:space="preserve"> - Máy in</t>
  </si>
  <si>
    <t xml:space="preserve"> - Máy photocopy</t>
  </si>
  <si>
    <t xml:space="preserve"> - Máy điều hòa nhiệt độ</t>
  </si>
  <si>
    <t xml:space="preserve"> - Máy hủy tài liệu, UPS, bàn ghế…</t>
  </si>
  <si>
    <t>Văn phòng phẩm</t>
  </si>
  <si>
    <t xml:space="preserve"> - Giấy</t>
  </si>
  <si>
    <t xml:space="preserve"> - Mực in</t>
  </si>
  <si>
    <t xml:space="preserve"> - Văn phòng phẩm khác (bút, dụng cụ đóng tập…)</t>
  </si>
  <si>
    <t>Chi phí hội họp, phản biện</t>
  </si>
  <si>
    <t>- Điện thoại</t>
  </si>
  <si>
    <t>Chi phí quản lý khác</t>
  </si>
  <si>
    <t>- Điện, nước văn phòng</t>
  </si>
  <si>
    <t>Checkbox</t>
  </si>
  <si>
    <t>Value</t>
  </si>
  <si>
    <t>Thiết bị</t>
  </si>
  <si>
    <t>Công trình</t>
  </si>
  <si>
    <t>Mặc định</t>
  </si>
  <si>
    <t>DANH MỤC CÔNG VIỆC</t>
  </si>
  <si>
    <t>CÁN BỘ THỰC HIỆN</t>
  </si>
  <si>
    <t>NGÀY BẮT ĐẦU</t>
  </si>
  <si>
    <t>BẮT ĐẦU</t>
  </si>
  <si>
    <t>THỜI GIAN</t>
  </si>
  <si>
    <t>NGÀY KẾT THÚC</t>
  </si>
  <si>
    <t>KẾT THÚC</t>
  </si>
  <si>
    <t>BẮT ĐẦU THỰC TẾ</t>
  </si>
  <si>
    <t>TỶ LỆ HOÀN THÀNH</t>
  </si>
  <si>
    <t>NGÀY</t>
  </si>
  <si>
    <t>Tiến độ thực hiện gói thầu tư vấn:</t>
  </si>
  <si>
    <t>TIẾN ĐỘ THỰC HIỆN CÔNG VIỆC TƯ VẤN</t>
  </si>
  <si>
    <t>CF_TITILE_VL</t>
  </si>
  <si>
    <t>CF_TITILE_VLP</t>
  </si>
  <si>
    <t>CF_TITILE_NC</t>
  </si>
  <si>
    <t>CF_TITILE_MTC</t>
  </si>
  <si>
    <t>CF_TITILE_VLK</t>
  </si>
  <si>
    <t>CF_TITILE_MK</t>
  </si>
  <si>
    <t>Lập dự toán riêng</t>
  </si>
  <si>
    <t>Ẩn hiện diễn giải khối lượng</t>
  </si>
  <si>
    <t>CF_DGKL</t>
  </si>
  <si>
    <t>CF_CPD</t>
  </si>
  <si>
    <t>CF_HIDE_NCM</t>
  </si>
  <si>
    <t>Ẩn/hiện nhân công , máy</t>
  </si>
  <si>
    <t>Ẩn/hiện chi phí đuôi</t>
  </si>
  <si>
    <t>CF_TYPE_DG</t>
  </si>
  <si>
    <t>Ẩn/hiện bảng phân tích vật tư</t>
  </si>
  <si>
    <t>HAO PHÍ CA MÁY</t>
  </si>
  <si>
    <t>TỔNG HAO PHÍ NHIÊN LIỆU</t>
  </si>
  <si>
    <t>CHÊNH LỆCH CHI PHÍ MTC DO CHÊNH LỆCH GIÁ NLNL</t>
  </si>
  <si>
    <t>CHI TIẾT CÁC CHI PHÍ TƯ VẤN</t>
  </si>
  <si>
    <t>Hiện chi phí tư vấn</t>
  </si>
  <si>
    <t>Hiện chi phí khác</t>
  </si>
  <si>
    <t>Hiện toàn bộ</t>
  </si>
  <si>
    <t>Tên chi phí tư vấn</t>
  </si>
  <si>
    <t>Tên chi phí khác</t>
  </si>
  <si>
    <t>CHI TIẾT CÁC CHI PHÍ KHÁC</t>
  </si>
  <si>
    <t>GIÁ TRỊ TRƯỚC THUẾ</t>
  </si>
  <si>
    <t>GIÁ TRỊ SAU THUẾ</t>
  </si>
  <si>
    <t>GIÁ TRỊ  SAU THUẾ</t>
  </si>
  <si>
    <r>
      <t>G</t>
    </r>
    <r>
      <rPr>
        <b/>
        <vertAlign val="subscript"/>
        <sz val="12"/>
        <rFont val="Times New Roman"/>
        <family val="1"/>
      </rPr>
      <t>NL</t>
    </r>
    <r>
      <rPr>
        <b/>
        <sz val="12"/>
        <rFont val="Times New Roman"/>
        <family val="1"/>
      </rPr>
      <t xml:space="preserve"> gốc:</t>
    </r>
  </si>
  <si>
    <r>
      <t>G</t>
    </r>
    <r>
      <rPr>
        <b/>
        <vertAlign val="subscript"/>
        <sz val="12"/>
        <rFont val="Times New Roman"/>
        <family val="1"/>
      </rPr>
      <t>NL</t>
    </r>
    <r>
      <rPr>
        <b/>
        <sz val="12"/>
        <rFont val="Times New Roman"/>
        <family val="1"/>
      </rPr>
      <t xml:space="preserve"> chênh lệch:</t>
    </r>
  </si>
  <si>
    <r>
      <t>G</t>
    </r>
    <r>
      <rPr>
        <b/>
        <vertAlign val="subscript"/>
        <sz val="12"/>
        <rFont val="Times New Roman"/>
        <family val="1"/>
      </rPr>
      <t>NC</t>
    </r>
    <r>
      <rPr>
        <b/>
        <sz val="12"/>
        <rFont val="Times New Roman"/>
        <family val="1"/>
      </rPr>
      <t xml:space="preserve"> gốc:</t>
    </r>
  </si>
  <si>
    <r>
      <t>G</t>
    </r>
    <r>
      <rPr>
        <b/>
        <vertAlign val="subscript"/>
        <sz val="12"/>
        <rFont val="Times New Roman"/>
        <family val="1"/>
      </rPr>
      <t>NL</t>
    </r>
    <r>
      <rPr>
        <b/>
        <sz val="12"/>
        <rFont val="Times New Roman"/>
        <family val="1"/>
      </rPr>
      <t xml:space="preserve"> hiện tại:</t>
    </r>
  </si>
  <si>
    <t>Tính dự toán gói thầu</t>
  </si>
  <si>
    <t>CF_DTGT</t>
  </si>
  <si>
    <t>CHI TIẾT CÁC CHI PHÍ TƯ VẤN VÀ CHI PHÍ KHÁC</t>
  </si>
  <si>
    <t xml:space="preserve">  2. Định mức dự toán:</t>
  </si>
  <si>
    <t xml:space="preserve">  4. Giá vật liệu:</t>
  </si>
  <si>
    <t xml:space="preserve">  5. Giá nhân công:</t>
  </si>
  <si>
    <t xml:space="preserve">  6. Giá ca máy:</t>
  </si>
  <si>
    <t>Tính đơn giá tổng hợp</t>
  </si>
  <si>
    <t>CF_TDGTH</t>
  </si>
  <si>
    <t>CỘNG HÒA XÃ HỘI CHỦ NGHĨA VIỆT NAM</t>
  </si>
  <si>
    <t xml:space="preserve">           </t>
  </si>
  <si>
    <t>Tùy chọn</t>
  </si>
  <si>
    <t>c</t>
  </si>
  <si>
    <t xml:space="preserve">Thẩm định theo nhiệm vụ </t>
  </si>
  <si>
    <t>a</t>
  </si>
  <si>
    <t>Thẩm định theo đề nghị</t>
  </si>
  <si>
    <t>b</t>
  </si>
  <si>
    <t>Thẩm định</t>
  </si>
  <si>
    <t xml:space="preserve">            </t>
  </si>
  <si>
    <t>Nơi nhận</t>
  </si>
  <si>
    <t xml:space="preserve"> Thẩm tra </t>
  </si>
  <si>
    <t>thẩm tra</t>
  </si>
  <si>
    <t>thẩm định</t>
  </si>
  <si>
    <t>NGUYỄN GIÁM ĐỐC</t>
  </si>
  <si>
    <t>Ẩn hiện DGTH</t>
  </si>
  <si>
    <t>Ẩn hiện vật tư XD</t>
  </si>
  <si>
    <r>
      <t xml:space="preserve"> G</t>
    </r>
    <r>
      <rPr>
        <b/>
        <vertAlign val="subscript"/>
        <sz val="12"/>
        <rFont val="Times New Roman"/>
        <family val="1"/>
      </rPr>
      <t>XD</t>
    </r>
  </si>
  <si>
    <r>
      <t xml:space="preserve"> G</t>
    </r>
    <r>
      <rPr>
        <b/>
        <vertAlign val="subscript"/>
        <sz val="12"/>
        <rFont val="Times New Roman"/>
        <family val="1"/>
      </rPr>
      <t>TB</t>
    </r>
  </si>
  <si>
    <r>
      <t xml:space="preserve"> G</t>
    </r>
    <r>
      <rPr>
        <b/>
        <vertAlign val="subscript"/>
        <sz val="12"/>
        <rFont val="Times New Roman"/>
        <family val="1"/>
      </rPr>
      <t>QLDA</t>
    </r>
  </si>
  <si>
    <r>
      <t>G</t>
    </r>
    <r>
      <rPr>
        <b/>
        <vertAlign val="subscript"/>
        <sz val="12"/>
        <rFont val="Times New Roman"/>
        <family val="1"/>
      </rPr>
      <t>TV</t>
    </r>
  </si>
  <si>
    <r>
      <t>G</t>
    </r>
    <r>
      <rPr>
        <b/>
        <vertAlign val="subscript"/>
        <sz val="12"/>
        <rFont val="Times New Roman"/>
        <family val="1"/>
      </rPr>
      <t>K</t>
    </r>
  </si>
  <si>
    <r>
      <t>Chi phí dự phòng (G</t>
    </r>
    <r>
      <rPr>
        <b/>
        <vertAlign val="subscript"/>
        <sz val="12"/>
        <rFont val="Times New Roman"/>
        <family val="1"/>
      </rPr>
      <t xml:space="preserve">DP1 </t>
    </r>
    <r>
      <rPr>
        <b/>
        <sz val="12"/>
        <rFont val="Times New Roman"/>
        <family val="1"/>
      </rPr>
      <t>+ G</t>
    </r>
    <r>
      <rPr>
        <b/>
        <vertAlign val="subscript"/>
        <sz val="12"/>
        <rFont val="Times New Roman"/>
        <family val="1"/>
      </rPr>
      <t>DP2</t>
    </r>
    <r>
      <rPr>
        <b/>
        <sz val="12"/>
        <rFont val="Times New Roman"/>
        <family val="1"/>
      </rPr>
      <t>)</t>
    </r>
  </si>
  <si>
    <r>
      <t>G</t>
    </r>
    <r>
      <rPr>
        <b/>
        <vertAlign val="subscript"/>
        <sz val="12"/>
        <rFont val="Times New Roman"/>
        <family val="1"/>
      </rPr>
      <t>DP</t>
    </r>
  </si>
  <si>
    <r>
      <t>G</t>
    </r>
    <r>
      <rPr>
        <b/>
        <vertAlign val="subscript"/>
        <sz val="12"/>
        <rFont val="Times New Roman"/>
        <family val="1"/>
      </rPr>
      <t>DP1</t>
    </r>
  </si>
  <si>
    <r>
      <t>G</t>
    </r>
    <r>
      <rPr>
        <b/>
        <vertAlign val="subscript"/>
        <sz val="12"/>
        <rFont val="Times New Roman"/>
        <family val="1"/>
      </rPr>
      <t>DP2</t>
    </r>
  </si>
  <si>
    <t>BẢNG GIÁ VỮA THI CÔNG XÂY DỰNG</t>
  </si>
  <si>
    <t>BẢNG GIÁ VỮA LẮP ĐẶT THIẾT BỊ</t>
  </si>
  <si>
    <t>Ẩn hiện vật tư LD</t>
  </si>
  <si>
    <t>`</t>
  </si>
  <si>
    <t>Ccg+Cql+Ck+TN+VAT+Cdp</t>
  </si>
  <si>
    <t>Chi phí bồi thường, hỗ trợ và tái định cư</t>
  </si>
  <si>
    <t>DỰ TOÁN CHI PHÍ THIẾT BỊ</t>
  </si>
  <si>
    <t xml:space="preserve">  7. Văn bản hướng dẫn điều chỉnh dự toán:</t>
  </si>
  <si>
    <t xml:space="preserve">  8. Phần mềm công cụ và cơ sở dữ liệu:</t>
  </si>
  <si>
    <t xml:space="preserve">  9. Hồ sơ thiết kế của công trình:</t>
  </si>
  <si>
    <t>HÌNH DẠNG - KÍCH THƯỚC</t>
  </si>
  <si>
    <t>CẤU KIỆN</t>
  </si>
  <si>
    <t>6. Nguyên nhân tăng, giảm</t>
  </si>
  <si>
    <t>7. Kết luận và kiến nghị</t>
  </si>
  <si>
    <t>- Đơn giá xây dựng công trình phần Xây dựng công bố kèm theo quyết định số .../QĐ-UBND ngày .../.../20.. của UBND tỉnh ..</t>
  </si>
  <si>
    <t>- Đơn giá xây dựng công trình phần Lắp đặt công bố kèm theo quyết định số .../QĐ-UBND ngày .../.../20.. của UBND tỉnh ..</t>
  </si>
  <si>
    <t>- Công bố giá vật liệu Liên Sở Xây dựng - Tài chính tỉnh…</t>
  </si>
  <si>
    <t>- Báo giá vật liệu thị trường đối với một số loại vật liệu không có trong công bố giá</t>
  </si>
  <si>
    <t>- Báo giá vật liệu từ một số công trình tương tự.</t>
  </si>
  <si>
    <t>- Bảng giá ca máy và thiết bị thi công công bố kèm theo quyết định số .../QĐ-UBND ngày .../.../20.. của Tỉnh ....</t>
  </si>
  <si>
    <t>- Giá nhiên liệu theo thông cáo báo chí xăng dầu tại thời điểm lập dự toán</t>
  </si>
  <si>
    <t>- Văn bản số …/QĐ-UBND của UBND ... công bố hệ số điều chỉnh chi phí nhân công, chi phí máy</t>
  </si>
  <si>
    <t>- Quyết định số …/QĐ-... của … phê duyệt dự án và tổng mức đầu tư</t>
  </si>
  <si>
    <t>- Quyết định số …/QĐ-... của … phê duyệt kế hoạch đấu thầu</t>
  </si>
  <si>
    <t>- Báo cáo khảo sát địa chất, địa hình do Công ty … thực hiện</t>
  </si>
  <si>
    <t>- Bản vẽ thiết kế và thuyết minh biện pháp thi công do Công ty Cổ phần … lập</t>
  </si>
  <si>
    <t>- Một số tài liệu có liên quan khác</t>
  </si>
  <si>
    <t>- Cơ sở dữ liệu các công trình tương tự lưu trữ tại Công ty Tư vấn …</t>
  </si>
  <si>
    <t>DIỄN GIẢI</t>
  </si>
  <si>
    <t>GIÁ TRỊ (ĐỒNG)</t>
  </si>
  <si>
    <t>MÃ CG</t>
  </si>
  <si>
    <t>HỌ, TÊN CHUYÊN GIA</t>
  </si>
  <si>
    <t>NHIỆM VỤ ĐƯỢC PHÂN CÔNG</t>
  </si>
  <si>
    <t>THỜI GIAN THỰC HIỆN 
(NGÀY)</t>
  </si>
  <si>
    <t>CHI PHÍ 
NGÀY CÔNG</t>
  </si>
  <si>
    <t>THÀNH TIỀN
(ĐỒNG)</t>
  </si>
  <si>
    <t>HỌ VÀ TÊN</t>
  </si>
  <si>
    <t>CHỨC DANH DỰ KIẾN</t>
  </si>
  <si>
    <t>HỆ SỐ LƯƠNG</t>
  </si>
  <si>
    <t>LƯƠNG CƠ BẢN</t>
  </si>
  <si>
    <t>CHI PHÍ XÃ HỘI</t>
  </si>
  <si>
    <t>HỆ SỐ PHỤ CẤP</t>
  </si>
  <si>
    <t>PHỤ CẤP</t>
  </si>
  <si>
    <t>CHI PHÍ NGÀY CÔNG</t>
  </si>
  <si>
    <t>Thu nhập chịu thuế tính trước</t>
  </si>
  <si>
    <t>Thuế giá trị gia tăng</t>
  </si>
  <si>
    <t>đ/tháng</t>
  </si>
  <si>
    <t>ngày/tháng</t>
  </si>
  <si>
    <t>DIỄN GIẢI CÁCH TÍNH</t>
  </si>
  <si>
    <t>THÀNH TIỀN (ĐỒNG)</t>
  </si>
  <si>
    <t>Tạm tính</t>
  </si>
  <si>
    <t>Chi phí tư vấn</t>
  </si>
  <si>
    <t>Thẩm tra</t>
  </si>
  <si>
    <t>Xây dựng</t>
  </si>
  <si>
    <r>
      <t>G</t>
    </r>
    <r>
      <rPr>
        <vertAlign val="subscript"/>
        <sz val="11"/>
        <rFont val="Times New Roman"/>
        <family val="1"/>
      </rPr>
      <t>DP1</t>
    </r>
    <r>
      <rPr>
        <sz val="11"/>
        <rFont val="Times New Roman"/>
        <family val="1"/>
      </rPr>
      <t xml:space="preserve"> + G</t>
    </r>
    <r>
      <rPr>
        <vertAlign val="subscript"/>
        <sz val="11"/>
        <rFont val="Times New Roman"/>
        <family val="1"/>
      </rPr>
      <t>DP2</t>
    </r>
  </si>
  <si>
    <t>&gt;&gt;&gt;&gt;&gt;</t>
  </si>
  <si>
    <t>Diezel (đ/lít)</t>
  </si>
  <si>
    <t>Chi phí xây dựng của gói thầu</t>
  </si>
  <si>
    <r>
      <t>G</t>
    </r>
    <r>
      <rPr>
        <b/>
        <vertAlign val="subscript"/>
        <sz val="12"/>
        <rFont val="Times New Roman"/>
        <family val="1"/>
      </rPr>
      <t>XD</t>
    </r>
  </si>
  <si>
    <t>Chi phí đào tạo và chuyển giao công nghệ</t>
  </si>
  <si>
    <r>
      <t>G</t>
    </r>
    <r>
      <rPr>
        <b/>
        <vertAlign val="subscript"/>
        <sz val="12"/>
        <rFont val="Times New Roman"/>
        <family val="1"/>
      </rPr>
      <t>DPTB</t>
    </r>
  </si>
  <si>
    <r>
      <t>G</t>
    </r>
    <r>
      <rPr>
        <b/>
        <vertAlign val="subscript"/>
        <sz val="12"/>
        <rFont val="Times New Roman"/>
        <family val="1"/>
      </rPr>
      <t>DPTB1</t>
    </r>
  </si>
  <si>
    <r>
      <t>G</t>
    </r>
    <r>
      <rPr>
        <b/>
        <vertAlign val="subscript"/>
        <sz val="12"/>
        <rFont val="Times New Roman"/>
        <family val="1"/>
      </rPr>
      <t>DPTB2</t>
    </r>
  </si>
  <si>
    <t>Hạng mục</t>
  </si>
  <si>
    <r>
      <t>G</t>
    </r>
    <r>
      <rPr>
        <vertAlign val="subscript"/>
        <sz val="12"/>
        <rFont val="Times New Roman"/>
        <family val="1"/>
      </rPr>
      <t>XD</t>
    </r>
    <r>
      <rPr>
        <sz val="12"/>
        <rFont val="Times New Roman"/>
        <family val="1"/>
      </rPr>
      <t>+G</t>
    </r>
    <r>
      <rPr>
        <vertAlign val="subscript"/>
        <sz val="12"/>
        <rFont val="Times New Roman"/>
        <family val="1"/>
      </rPr>
      <t>DP</t>
    </r>
  </si>
  <si>
    <t>GIÁ DỰ THẦU</t>
  </si>
  <si>
    <t>G+GTGT</t>
  </si>
  <si>
    <r>
      <t>G</t>
    </r>
    <r>
      <rPr>
        <vertAlign val="subscript"/>
        <sz val="12"/>
        <rFont val="Times New Roman"/>
        <family val="1"/>
      </rPr>
      <t>LD</t>
    </r>
    <r>
      <rPr>
        <sz val="12"/>
        <rFont val="Times New Roman"/>
        <family val="1"/>
      </rPr>
      <t>+G</t>
    </r>
    <r>
      <rPr>
        <vertAlign val="subscript"/>
        <sz val="12"/>
        <rFont val="Times New Roman"/>
        <family val="1"/>
      </rPr>
      <t>DP</t>
    </r>
  </si>
  <si>
    <t>Đơn giá thầu</t>
  </si>
  <si>
    <t>[CF_GTHAU]</t>
  </si>
  <si>
    <t>Đồng bộ giá vật tư</t>
  </si>
  <si>
    <t>CG</t>
  </si>
  <si>
    <t>Ký hiệu chuyên gia</t>
  </si>
  <si>
    <t>ĐƠN GIÁ THẦU</t>
  </si>
  <si>
    <t>LOẠI, CẤP CÔNG TRÌNH, SỐ BƯỚC THIẾT KẾ, LOẠI BÁO CÁO…</t>
  </si>
  <si>
    <r>
      <t>G</t>
    </r>
    <r>
      <rPr>
        <b/>
        <vertAlign val="subscript"/>
        <sz val="12"/>
        <rFont val="Times New Roman"/>
        <family val="1"/>
      </rPr>
      <t>GTXD</t>
    </r>
  </si>
  <si>
    <r>
      <t>G</t>
    </r>
    <r>
      <rPr>
        <b/>
        <vertAlign val="subscript"/>
        <sz val="12"/>
        <rFont val="Times New Roman"/>
        <family val="1"/>
      </rPr>
      <t>GTTB</t>
    </r>
  </si>
  <si>
    <t>Hiển thị khi lấy giá bên ĐGCT sang</t>
  </si>
  <si>
    <t>Đơn giá địa phương chưa công bố</t>
  </si>
  <si>
    <t>[CF_TT]</t>
  </si>
  <si>
    <t xml:space="preserve">BẢNG 2: CHỈ SỐ GIÁ XÂY DỰNG SỬ DỤNG TÍNH DỰ PḤÒNG CHO YẾU TỐ TRƯỢT GIÁ </t>
  </si>
  <si>
    <t>BẢNG CHI PHÍ DỰ PHÒNG DỰ TOÁN XÂY DỰNG</t>
  </si>
  <si>
    <t>Chi phí xây dựng (chưa có thuế GTGT) trong dự toán công trình hoặc dự toán gói thầu được duyệt (tỷ đồng)</t>
  </si>
  <si>
    <t>[CF_TDNCXD]</t>
  </si>
  <si>
    <t>Tùy chọn tính đơn giá nhân công (mặc định là tính theo TT01 sẽ bằng 0)</t>
  </si>
  <si>
    <t>CỞ SỞ PL</t>
  </si>
  <si>
    <t>TỶ TRỌNG VẬT TƯ TRONG VL, NC, MTC</t>
  </si>
  <si>
    <t>TỶ TRỌNG TRONG CP TRỰC TIẾP</t>
  </si>
  <si>
    <t>Loại công tác</t>
  </si>
  <si>
    <t>GIÁ VẬT LIỆU TẠI NGUỒN CUNG CẤP</t>
  </si>
  <si>
    <t>Đơn giá đầy đủ</t>
  </si>
  <si>
    <t>[CF_TDGDD]</t>
  </si>
  <si>
    <t>CHI PHÍ VẬN CHUYỂN ĐẾN CÔNG TRÌNH</t>
  </si>
  <si>
    <t>GIÁ TRỊ
TRƯỚC THUẾ</t>
  </si>
  <si>
    <t>ĐỊNH MỨC TIÊU HAO NHIÊN LIỆU, NĂNG LƯỢNG 1 CA</t>
  </si>
  <si>
    <t>ĐƠN GIÁ VẬT TƯ</t>
  </si>
  <si>
    <t>Tỷ lệ thu hồi</t>
  </si>
  <si>
    <r>
      <t>G</t>
    </r>
    <r>
      <rPr>
        <b/>
        <vertAlign val="subscript"/>
        <sz val="12"/>
        <rFont val="Times New Roman"/>
        <family val="1"/>
      </rPr>
      <t>MS</t>
    </r>
  </si>
  <si>
    <r>
      <t>G</t>
    </r>
    <r>
      <rPr>
        <b/>
        <vertAlign val="subscript"/>
        <sz val="12"/>
        <rFont val="Times New Roman"/>
        <family val="1"/>
      </rPr>
      <t>ĐT</t>
    </r>
  </si>
  <si>
    <r>
      <t>G</t>
    </r>
    <r>
      <rPr>
        <b/>
        <vertAlign val="subscript"/>
        <sz val="12"/>
        <rFont val="Times New Roman"/>
        <family val="1"/>
      </rPr>
      <t>LĐ</t>
    </r>
  </si>
  <si>
    <t>LÀM TRÒN</t>
  </si>
  <si>
    <r>
      <t>G</t>
    </r>
    <r>
      <rPr>
        <b/>
        <vertAlign val="subscript"/>
        <sz val="12"/>
        <rFont val="Times New Roman"/>
        <family val="1"/>
      </rPr>
      <t>TB</t>
    </r>
  </si>
  <si>
    <t>(theo Thông tư số 209/2016/TT-BTC ngày 10/11/2016 của Bộ Tài chính)</t>
  </si>
  <si>
    <t>BẢNG LƯƠNG THỢ ĐIỀU KHIỂN MÁY</t>
  </si>
  <si>
    <t>Chi phí khảo sát xây dựng (Chưa có thuế GTGT) của giá gói thầu khảo sát xây dựng được duyệt (tỷ đồng)</t>
  </si>
  <si>
    <t>Chi phí tư vấn (Chưa có thuế GTGT) của giá gói thầu tư vấn được duyệt (tỷ đồng)</t>
  </si>
  <si>
    <t>Gtv</t>
  </si>
  <si>
    <t>Gks</t>
  </si>
  <si>
    <t>Báo cáo nghiên cứu tiền khả thi</t>
  </si>
  <si>
    <t>Báo cáo nghiên cứu khả thi</t>
  </si>
  <si>
    <t>Báo cáo kinh tế - kỹ thuật</t>
  </si>
  <si>
    <t>Nt (%)</t>
  </si>
  <si>
    <t>Tổng mức đầu tư</t>
  </si>
  <si>
    <t>Dự toán công trình</t>
  </si>
  <si>
    <t>Xác định</t>
  </si>
  <si>
    <t>Dự toán xây dựng</t>
  </si>
  <si>
    <t>Giá gói thầu</t>
  </si>
  <si>
    <t>Giá gói thầu tư vấn được duyệt</t>
  </si>
  <si>
    <t>Giá gói thầu thi công xây dựng được duyệt</t>
  </si>
  <si>
    <t>Giá gói thầu mua sắm vật tư thiết bị</t>
  </si>
  <si>
    <t>Chi phí khảo sát (Gks)</t>
  </si>
  <si>
    <t>Công trình xây dựng đường hầm thủy điện, hầm lò</t>
  </si>
  <si>
    <t>Loại công trình:</t>
  </si>
  <si>
    <t>Cấp công trình:</t>
  </si>
  <si>
    <t>Số bước thiết kế:</t>
  </si>
  <si>
    <t>Loại báo cáo:</t>
  </si>
  <si>
    <t>Xác định:</t>
  </si>
  <si>
    <t>Chi phí thiết bị (tỷ đồng)</t>
  </si>
  <si>
    <t>Thông tư số 210/2016/TT-BTC</t>
  </si>
  <si>
    <t>Phụ lục số 1: Phí thẩm định thiết kế kỹ thuật, phí thẩm định dự toán</t>
  </si>
  <si>
    <t>Phí thẩm định thiết kế kỹ thuật</t>
  </si>
  <si>
    <t>Phí thẩm định dự toán xây dựng</t>
  </si>
  <si>
    <t>Phụ lục số 2: Phí thẩm định thiết kế kỹ thuật, phí thẩm định dự toán xây dựng khi cơ quan chuyên môn về xây dựng mời tổ chức tư vấn cá nhân cùng thẩm định</t>
  </si>
  <si>
    <t>[CF_ROUNDDG]</t>
  </si>
  <si>
    <t>[CF_ROUNDKL]</t>
  </si>
  <si>
    <t>[CF_CHKROUNDDG]</t>
  </si>
  <si>
    <t>[CF_CHKROUNDKL]</t>
  </si>
  <si>
    <t>[CF_HSDGCT]</t>
  </si>
  <si>
    <t>Dùng hệ số VL, NC, M trong đơn giá</t>
  </si>
  <si>
    <t>CÁC CHI PHÍ ĐƯỢC DUYỆT (TRƯỚC THUẾ)</t>
  </si>
  <si>
    <t>Dự toán gói thầu</t>
  </si>
  <si>
    <t>GIÁ NHIÊN LIỆU, NĂNG LƯỢNG (TRƯỚC VAT)</t>
  </si>
  <si>
    <t>đ/lít</t>
  </si>
  <si>
    <t>đ/kWh</t>
  </si>
  <si>
    <t>Giá dầu Mazut</t>
  </si>
  <si>
    <r>
      <t>LÀM TRÒN (G</t>
    </r>
    <r>
      <rPr>
        <b/>
        <vertAlign val="subscript"/>
        <sz val="10"/>
        <color indexed="9"/>
        <rFont val="Times New Roman"/>
        <family val="1"/>
      </rPr>
      <t>XDCT</t>
    </r>
    <r>
      <rPr>
        <b/>
        <sz val="10"/>
        <color indexed="9"/>
        <rFont val="Times New Roman"/>
        <family val="1"/>
      </rPr>
      <t>):</t>
    </r>
  </si>
  <si>
    <r>
      <t>CHI PHÍ KHẤU HAO
(C</t>
    </r>
    <r>
      <rPr>
        <b/>
        <vertAlign val="subscript"/>
        <sz val="12"/>
        <color indexed="12"/>
        <rFont val="Times New Roman"/>
        <family val="1"/>
      </rPr>
      <t>KH</t>
    </r>
    <r>
      <rPr>
        <b/>
        <sz val="12"/>
        <color indexed="12"/>
        <rFont val="Times New Roman"/>
        <family val="1"/>
      </rPr>
      <t>)</t>
    </r>
  </si>
  <si>
    <r>
      <t>CHI PHÍ SỬA CHỮA
(C</t>
    </r>
    <r>
      <rPr>
        <b/>
        <vertAlign val="subscript"/>
        <sz val="12"/>
        <color indexed="12"/>
        <rFont val="Times New Roman"/>
        <family val="1"/>
      </rPr>
      <t>SC</t>
    </r>
    <r>
      <rPr>
        <b/>
        <sz val="12"/>
        <color indexed="12"/>
        <rFont val="Times New Roman"/>
        <family val="1"/>
      </rPr>
      <t>)</t>
    </r>
  </si>
  <si>
    <r>
      <t>CHI PHÍ NHIÊN LIỆU, NĂNG LƯỢNG
(C</t>
    </r>
    <r>
      <rPr>
        <b/>
        <vertAlign val="subscript"/>
        <sz val="12"/>
        <color indexed="12"/>
        <rFont val="Times New Roman"/>
        <family val="1"/>
      </rPr>
      <t>NL</t>
    </r>
    <r>
      <rPr>
        <b/>
        <sz val="12"/>
        <color indexed="12"/>
        <rFont val="Times New Roman"/>
        <family val="1"/>
      </rPr>
      <t>)</t>
    </r>
  </si>
  <si>
    <r>
      <t>CHI PHÍ NHÂN CÔNG
(C</t>
    </r>
    <r>
      <rPr>
        <b/>
        <vertAlign val="subscript"/>
        <sz val="12"/>
        <color indexed="12"/>
        <rFont val="Times New Roman"/>
        <family val="1"/>
      </rPr>
      <t>NC</t>
    </r>
    <r>
      <rPr>
        <b/>
        <sz val="12"/>
        <color indexed="12"/>
        <rFont val="Times New Roman"/>
        <family val="1"/>
      </rPr>
      <t>)</t>
    </r>
  </si>
  <si>
    <r>
      <t>CHI PHÍ KHÁC
(C</t>
    </r>
    <r>
      <rPr>
        <b/>
        <vertAlign val="subscript"/>
        <sz val="12"/>
        <color indexed="12"/>
        <rFont val="Times New Roman"/>
        <family val="1"/>
      </rPr>
      <t>CPK</t>
    </r>
    <r>
      <rPr>
        <b/>
        <sz val="12"/>
        <color indexed="12"/>
        <rFont val="Times New Roman"/>
        <family val="1"/>
      </rPr>
      <t>)</t>
    </r>
  </si>
  <si>
    <r>
      <t>GIÁ CA MÁY
(C</t>
    </r>
    <r>
      <rPr>
        <b/>
        <vertAlign val="subscript"/>
        <sz val="12"/>
        <color indexed="10"/>
        <rFont val="Times New Roman"/>
        <family val="1"/>
      </rPr>
      <t>CM</t>
    </r>
    <r>
      <rPr>
        <b/>
        <sz val="12"/>
        <color indexed="10"/>
        <rFont val="Times New Roman"/>
        <family val="1"/>
      </rPr>
      <t>)</t>
    </r>
  </si>
  <si>
    <t>GIÁ VẬT LIỆU ĐẾN HIỆN TRƯỜNG CÔNG TRÌNH</t>
  </si>
  <si>
    <t>TRA THIẾT BỊ</t>
  </si>
  <si>
    <t>GIÁ TRỊ
SAU THUẾ</t>
  </si>
  <si>
    <r>
      <t>CHI PHÍ KHẤU HAO
(C</t>
    </r>
    <r>
      <rPr>
        <b/>
        <vertAlign val="subscript"/>
        <sz val="12"/>
        <color theme="1"/>
        <rFont val="Times New Roman"/>
        <family val="1"/>
      </rPr>
      <t>KH</t>
    </r>
    <r>
      <rPr>
        <b/>
        <sz val="12"/>
        <color theme="1"/>
        <rFont val="Times New Roman"/>
        <family val="1"/>
      </rPr>
      <t>)</t>
    </r>
  </si>
  <si>
    <r>
      <t>CHI PHÍ SỬA CHỮA
(C</t>
    </r>
    <r>
      <rPr>
        <b/>
        <vertAlign val="subscript"/>
        <sz val="12"/>
        <color theme="1"/>
        <rFont val="Times New Roman"/>
        <family val="1"/>
      </rPr>
      <t>SC</t>
    </r>
    <r>
      <rPr>
        <b/>
        <sz val="12"/>
        <color theme="1"/>
        <rFont val="Times New Roman"/>
        <family val="1"/>
      </rPr>
      <t>)</t>
    </r>
  </si>
  <si>
    <r>
      <t>CHI PHÍ NHIÊN LIỆU, NĂNG LƯỢNG
(C</t>
    </r>
    <r>
      <rPr>
        <b/>
        <vertAlign val="subscript"/>
        <sz val="12"/>
        <color theme="1"/>
        <rFont val="Times New Roman"/>
        <family val="1"/>
      </rPr>
      <t>NL</t>
    </r>
    <r>
      <rPr>
        <b/>
        <sz val="12"/>
        <color theme="1"/>
        <rFont val="Times New Roman"/>
        <family val="1"/>
      </rPr>
      <t>)</t>
    </r>
  </si>
  <si>
    <r>
      <t>CHI PHÍ NHÂN CÔNG
(C</t>
    </r>
    <r>
      <rPr>
        <b/>
        <vertAlign val="subscript"/>
        <sz val="12"/>
        <color theme="1"/>
        <rFont val="Times New Roman"/>
        <family val="1"/>
      </rPr>
      <t>NC</t>
    </r>
    <r>
      <rPr>
        <b/>
        <sz val="12"/>
        <color theme="1"/>
        <rFont val="Times New Roman"/>
        <family val="1"/>
      </rPr>
      <t>)</t>
    </r>
  </si>
  <si>
    <r>
      <t>CHI PHÍ KHÁC
(C</t>
    </r>
    <r>
      <rPr>
        <b/>
        <vertAlign val="subscript"/>
        <sz val="12"/>
        <color theme="1"/>
        <rFont val="Times New Roman"/>
        <family val="1"/>
      </rPr>
      <t>CPK</t>
    </r>
    <r>
      <rPr>
        <b/>
        <sz val="12"/>
        <color theme="1"/>
        <rFont val="Times New Roman"/>
        <family val="1"/>
      </rPr>
      <t>)</t>
    </r>
  </si>
  <si>
    <r>
      <t>GIÁ CA MÁY
(C</t>
    </r>
    <r>
      <rPr>
        <b/>
        <vertAlign val="subscript"/>
        <sz val="12"/>
        <color theme="1"/>
        <rFont val="Times New Roman"/>
        <family val="1"/>
      </rPr>
      <t>CM</t>
    </r>
    <r>
      <rPr>
        <b/>
        <sz val="12"/>
        <color theme="1"/>
        <rFont val="Times New Roman"/>
        <family val="1"/>
      </rPr>
      <t>)</t>
    </r>
  </si>
  <si>
    <t>SỐ HIỆU THANH</t>
  </si>
  <si>
    <t>SỐ LƯỢNG MỐI NỐI</t>
  </si>
  <si>
    <t>CHIỀU DÀI MỐI NỐI</t>
  </si>
  <si>
    <t>SỐ CẤU KIỆN</t>
  </si>
  <si>
    <t>Đ.KÍNH
Φ (mm)</t>
  </si>
  <si>
    <t>1 CẤU KIỆN</t>
  </si>
  <si>
    <t>TOÀN BỘ</t>
  </si>
  <si>
    <t>TỔNG TRỌNG LƯỢNG (kg)</t>
  </si>
  <si>
    <r>
      <t>LÀM TRÒN (G</t>
    </r>
    <r>
      <rPr>
        <b/>
        <vertAlign val="subscript"/>
        <sz val="12"/>
        <color indexed="9"/>
        <rFont val="Times New Roman"/>
        <family val="1"/>
      </rPr>
      <t>TV</t>
    </r>
    <r>
      <rPr>
        <b/>
        <sz val="12"/>
        <color indexed="9"/>
        <rFont val="Times New Roman"/>
        <family val="1"/>
      </rPr>
      <t>)</t>
    </r>
  </si>
  <si>
    <r>
      <t>GIÁ CA MÁY ĐIỀU CHỈNH (C</t>
    </r>
    <r>
      <rPr>
        <b/>
        <vertAlign val="subscript"/>
        <sz val="12"/>
        <color rgb="FF0000CC"/>
        <rFont val="Times New Roman"/>
        <family val="1"/>
      </rPr>
      <t>CMĐC</t>
    </r>
    <r>
      <rPr>
        <b/>
        <sz val="12"/>
        <color rgb="FF0000CC"/>
        <rFont val="Times New Roman"/>
        <family val="1"/>
      </rPr>
      <t>)</t>
    </r>
  </si>
  <si>
    <t>Chi phí gián tiếp</t>
  </si>
  <si>
    <t>Chi phí nhà tạm để ở và điều hành thi công</t>
  </si>
  <si>
    <t>Chi phí một số công việc không xác định được khối lượng từ thiết kế</t>
  </si>
  <si>
    <t>LT</t>
  </si>
  <si>
    <t>T+GT+TL</t>
  </si>
  <si>
    <t>CHI PHÍ GIÁN TIẾP</t>
  </si>
  <si>
    <r>
      <t>C+LT+TT+GT</t>
    </r>
    <r>
      <rPr>
        <vertAlign val="subscript"/>
        <sz val="12"/>
        <rFont val="Times New Roman"/>
        <family val="1"/>
      </rPr>
      <t>k</t>
    </r>
  </si>
  <si>
    <t>Chi phí mua sắm thiết bị; Chi phí gia công, chế tạo thiết bị phi tiêu chuẩn</t>
  </si>
  <si>
    <r>
      <t>G</t>
    </r>
    <r>
      <rPr>
        <b/>
        <vertAlign val="subscript"/>
        <sz val="12"/>
        <rFont val="Times New Roman"/>
        <family val="1"/>
      </rPr>
      <t>QLMSTB</t>
    </r>
  </si>
  <si>
    <r>
      <t>G</t>
    </r>
    <r>
      <rPr>
        <b/>
        <vertAlign val="subscript"/>
        <sz val="12"/>
        <rFont val="Times New Roman"/>
        <family val="1"/>
      </rPr>
      <t>CN</t>
    </r>
  </si>
  <si>
    <t>Chi phí chạy thử thiết bị theo yêu cầu kỹ thuật</t>
  </si>
  <si>
    <r>
      <t>G</t>
    </r>
    <r>
      <rPr>
        <b/>
        <vertAlign val="subscript"/>
        <sz val="12"/>
        <rFont val="Times New Roman"/>
        <family val="1"/>
      </rPr>
      <t>CT</t>
    </r>
  </si>
  <si>
    <t>TỔNG CỘNG (1+2+3+4+5+6+7)</t>
  </si>
  <si>
    <r>
      <t>G</t>
    </r>
    <r>
      <rPr>
        <b/>
        <vertAlign val="subscript"/>
        <sz val="12"/>
        <rFont val="Times New Roman"/>
        <family val="1"/>
      </rPr>
      <t>DT</t>
    </r>
  </si>
  <si>
    <t>BẢNG TỔNG HỢP CHI PHÍ ĐÀO TẠO VÀ CHUYỂN GIAO CÔNG NGHỆ</t>
  </si>
  <si>
    <t>Chi phí quản lý mua sắm thiết bị</t>
  </si>
  <si>
    <t>Chi phí lắp đặt thiết bị và thí nghiệm, hiệu chỉnh thiết bị</t>
  </si>
  <si>
    <t>Chi phí liên quan khác</t>
  </si>
  <si>
    <r>
      <t>C</t>
    </r>
    <r>
      <rPr>
        <b/>
        <vertAlign val="subscript"/>
        <sz val="12"/>
        <rFont val="Times New Roman"/>
        <family val="1"/>
      </rPr>
      <t>LD</t>
    </r>
  </si>
  <si>
    <r>
      <t>C</t>
    </r>
    <r>
      <rPr>
        <b/>
        <vertAlign val="subscript"/>
        <sz val="12"/>
        <rFont val="Times New Roman"/>
        <family val="1"/>
      </rPr>
      <t>CT</t>
    </r>
  </si>
  <si>
    <t>TÊN THIẾT BỊ</t>
  </si>
  <si>
    <t>BẢNG TỔNG HỢP CHI PHÍ THÍ NGHIỆM, HIỆU CHỈNH THIẾT BỊ</t>
  </si>
  <si>
    <t>SỐ LẦN THÍ NGHIỆM</t>
  </si>
  <si>
    <t>Chi phí mua bản quyền công nghệ (nếu có)</t>
  </si>
  <si>
    <t>Riêng công trình xây dựng đường hầm thủy điện, hầm lò</t>
  </si>
  <si>
    <t>Công trình xây dựng theo tuyến</t>
  </si>
  <si>
    <t>Công trình xây dựng còn lại</t>
  </si>
  <si>
    <t>BẢNG TỔNG HỢP CHI PHÍ MUA BẢN QUYỀN CÔNG NGHỆ</t>
  </si>
  <si>
    <t>BẢNG TỔNG HỢP CHI PHÍ CHẠY THỬ THIẾT BỊ THEO YÊU CẦU KỸ THUẬT</t>
  </si>
  <si>
    <t>Phần xây dựng</t>
  </si>
  <si>
    <t>Phần lắp đặt</t>
  </si>
  <si>
    <t>N(t) xd</t>
  </si>
  <si>
    <t>N(t) ld</t>
  </si>
  <si>
    <t>Nt(%) xd</t>
  </si>
  <si>
    <t>Nt(%) ld</t>
  </si>
  <si>
    <t>Bảng số 1.1: Định mức chi phí quản lý dự án</t>
  </si>
  <si>
    <t>Bảng số 2.1: Định mức chi phí lập báo cáo nghiên cứu tiền khả thi</t>
  </si>
  <si>
    <t>Bảng số 2.2: Định mức chi phí lập báo cáo nghiên cứu khả thi</t>
  </si>
  <si>
    <t>Bảng số 2.3: Định mức chi phí lập báo cáo kinh tế - kỹ thuật</t>
  </si>
  <si>
    <t>10. Định mức chi phí thiết kế công trình dân dụng</t>
  </si>
  <si>
    <t>Bảng số 2.4: Định mức chi phí thiết kế kỹ thuật của công trình dân dụng có yêu cầu thiết kế 3 bước</t>
  </si>
  <si>
    <t>Bảng số 2.5: Định mức chi phí thiết kế bản vẽ thi công của công trình dân dụng có yêu cầu thiết kế 2 bước</t>
  </si>
  <si>
    <t>11. Định mức chi phí thiết kế công trình công nghiệp</t>
  </si>
  <si>
    <t>Bảng số 2.6: Định mức chi phí thiết kế kỹ thuật của công trình công nghiệp có yêu cầu thiết kế 3 bước</t>
  </si>
  <si>
    <t>Bảng số 2.7: Định mức chi phí thiết kế bản vẽ thi công của công trình công nghiệp có yêu cầu thiết kế 2 bước</t>
  </si>
  <si>
    <t>12. Định mức chi phí thiết kế công trình giao thông</t>
  </si>
  <si>
    <t>Bảng số 2.8: Định mức chi phí thiết kế kỹ thuật của công trình giao thông có yêu cầu thiết kế 3 bước</t>
  </si>
  <si>
    <t>Bảng số 2.9: Định mức chi phí thiết kế bản vẽ thi công của công trình giao thông có yêu cầu thiết kế 2 bước</t>
  </si>
  <si>
    <t>13. Định mức chi phí thiết kế Công trình nông nghiệp và PTNT</t>
  </si>
  <si>
    <t>Bảng số 2.10: Định mức chi phí thiết kế kỹ thuật của Công trình nông nghiệp và PTNT có yêu cầu thiết kế 3 bước</t>
  </si>
  <si>
    <t>Bảng số 2.11: Định mức chi phí thiết kế bản vẽ thi công của Công trình nông nghiệp và PTNT có yêu cầu thiết kế 2 bước</t>
  </si>
  <si>
    <t>14. Định mức chi phí thiết kế công trình hạ tầng kỹ thuật</t>
  </si>
  <si>
    <t>Bảng số 2.12: Định mức chi phí thiết kế kỹ thuật của công trình hạ tầng kỹ thuật có yêu cầu thiết kế 3 bước</t>
  </si>
  <si>
    <t>Bảng số 2.13: Định mức chi phí thiết kế bản vẽ thi công của công trình hạ tầng kỹ thuật có yêu cầu thiết kế 2 bước</t>
  </si>
  <si>
    <t>Bảng số 2.14: Định mức chi phí thẩm tra báo cáo nghiên cứu tiền khả thi</t>
  </si>
  <si>
    <t>Bảng số 2.15: Định mức chi phí thẩm tra báo cáo nghiên cứu khả thi</t>
  </si>
  <si>
    <t>Bảng số 2.16: Định mức chi phí thẩm tra thiết kế xây dựng</t>
  </si>
  <si>
    <t>Bảng số 2.17: Định mức chi phí thẩm tra dự toán xây dựng</t>
  </si>
  <si>
    <t>Bảng số 2.18: Định mức chi phí lập hồ sơ mời thầu, đánh giá hồ sơ dự thầu tư vấn</t>
  </si>
  <si>
    <t>Bảng số 2.19: Định mức chi phí lập hồ sơ mời thầu, đánh giá hồ sơ dự thầu thi công xây dựng</t>
  </si>
  <si>
    <t>Bảng số 2.20: Định mức chi phí lập hồ sơ mời thầu, đánh giá hồ sơ dự thầu mua sắm thiết bị</t>
  </si>
  <si>
    <t>Bảng số 2.21: Định mức chi phí giám sát thi công xây dựng</t>
  </si>
  <si>
    <t>Bảng số 2.22: Định mức chi phí giám sát lắp đặt thiết bị</t>
  </si>
  <si>
    <t>Bảng số 2.23: Định mức chi phí giám sát công tác khảo sát xây dựng</t>
  </si>
  <si>
    <t>Bảng số 2.24: Định mức chi phí quy đổi vốn đầu tư xây dựng</t>
  </si>
  <si>
    <t>Đơn giá nhân công xây dựng bình quân theo khu vực (đ/ngc)</t>
  </si>
  <si>
    <t>Kỹ sư</t>
  </si>
  <si>
    <t>Nghệ nhân</t>
  </si>
  <si>
    <t>V</t>
  </si>
  <si>
    <t>VI</t>
  </si>
  <si>
    <t>VII</t>
  </si>
  <si>
    <t>Thủy thủ, thợ máy</t>
  </si>
  <si>
    <t>VIII</t>
  </si>
  <si>
    <t>Thợ điều khiển tàu sông</t>
  </si>
  <si>
    <t>IX</t>
  </si>
  <si>
    <t>Thợ lặn</t>
  </si>
  <si>
    <t>ĐƠN GIÁ NHÂN CÔNG</t>
  </si>
  <si>
    <t>Số:    /BCTT-GXD</t>
  </si>
  <si>
    <t>- Giá năng lượng theo Quyết định số 648/QĐ-BCT ngày 20/3/2019 của Bộ Công thương quy định về giá bán điện</t>
  </si>
  <si>
    <t>- Sử dụng phần mềm Dự toán GXD và cơ sở dữ liệu do Công ty Giá Xây Dựng sản xuất.</t>
  </si>
  <si>
    <t>x</t>
  </si>
  <si>
    <t>CẤP BẬC NHÂN CÔNG</t>
  </si>
  <si>
    <r>
      <t>HỆ SỐ CẤP BẬC (H</t>
    </r>
    <r>
      <rPr>
        <b/>
        <vertAlign val="superscript"/>
        <sz val="12"/>
        <color theme="1"/>
        <rFont val="Times New Roman"/>
        <family val="1"/>
      </rPr>
      <t>i</t>
    </r>
    <r>
      <rPr>
        <b/>
        <vertAlign val="subscript"/>
        <sz val="12"/>
        <color theme="1"/>
        <rFont val="Times New Roman"/>
        <family val="1"/>
      </rPr>
      <t>CB</t>
    </r>
    <r>
      <rPr>
        <b/>
        <sz val="12"/>
        <color theme="1"/>
        <rFont val="Times New Roman"/>
        <family val="1"/>
      </rPr>
      <t>)</t>
    </r>
  </si>
  <si>
    <r>
      <t>HỆ SỐ CẤP BẬC BÌNH QUÂN (H</t>
    </r>
    <r>
      <rPr>
        <b/>
        <vertAlign val="superscript"/>
        <sz val="12"/>
        <color theme="1"/>
        <rFont val="Times New Roman"/>
        <family val="1"/>
      </rPr>
      <t>j</t>
    </r>
    <r>
      <rPr>
        <b/>
        <vertAlign val="subscript"/>
        <sz val="12"/>
        <color theme="1"/>
        <rFont val="Times New Roman"/>
        <family val="1"/>
      </rPr>
      <t>CB</t>
    </r>
    <r>
      <rPr>
        <b/>
        <sz val="12"/>
        <color theme="1"/>
        <rFont val="Times New Roman"/>
        <family val="1"/>
      </rPr>
      <t>)</t>
    </r>
  </si>
  <si>
    <t>[3']</t>
  </si>
  <si>
    <r>
      <t>ĐƠN GIÁ NHÂN CÔNG XÂY DỰNG
(G</t>
    </r>
    <r>
      <rPr>
        <b/>
        <vertAlign val="superscript"/>
        <sz val="12"/>
        <color theme="1"/>
        <rFont val="Times New Roman"/>
        <family val="1"/>
      </rPr>
      <t>i</t>
    </r>
    <r>
      <rPr>
        <b/>
        <vertAlign val="subscript"/>
        <sz val="12"/>
        <color theme="1"/>
        <rFont val="Times New Roman"/>
        <family val="1"/>
      </rPr>
      <t>NCXD</t>
    </r>
    <r>
      <rPr>
        <b/>
        <sz val="12"/>
        <color theme="1"/>
        <rFont val="Times New Roman"/>
        <family val="1"/>
      </rPr>
      <t>) (đ/ngc)</t>
    </r>
  </si>
  <si>
    <t>[5]=[4]*[3]/[3']</t>
  </si>
  <si>
    <r>
      <t>ĐGNCXD
BÌNH QUÂN 
(G</t>
    </r>
    <r>
      <rPr>
        <b/>
        <vertAlign val="superscript"/>
        <sz val="12"/>
        <color theme="1"/>
        <rFont val="Times New Roman"/>
        <family val="1"/>
      </rPr>
      <t>j</t>
    </r>
    <r>
      <rPr>
        <b/>
        <vertAlign val="subscript"/>
        <sz val="12"/>
        <color theme="1"/>
        <rFont val="Times New Roman"/>
        <family val="1"/>
      </rPr>
      <t>NCXD</t>
    </r>
    <r>
      <rPr>
        <b/>
        <sz val="12"/>
        <color theme="1"/>
        <rFont val="Times New Roman"/>
        <family val="1"/>
      </rPr>
      <t>) (đ/ngc)</t>
    </r>
  </si>
  <si>
    <r>
      <t>ĐGNCLD
BÌNH QUÂN 
(G</t>
    </r>
    <r>
      <rPr>
        <b/>
        <vertAlign val="superscript"/>
        <sz val="12"/>
        <color theme="1"/>
        <rFont val="Times New Roman"/>
        <family val="1"/>
      </rPr>
      <t>j</t>
    </r>
    <r>
      <rPr>
        <b/>
        <vertAlign val="subscript"/>
        <sz val="12"/>
        <color theme="1"/>
        <rFont val="Times New Roman"/>
        <family val="1"/>
      </rPr>
      <t>NCXD</t>
    </r>
    <r>
      <rPr>
        <b/>
        <sz val="12"/>
        <color theme="1"/>
        <rFont val="Times New Roman"/>
        <family val="1"/>
      </rPr>
      <t>) (đ/ngc)</t>
    </r>
  </si>
  <si>
    <r>
      <t>ĐƠN GIÁ NHÂN CÔNG LẮP ĐẶT
(G</t>
    </r>
    <r>
      <rPr>
        <b/>
        <vertAlign val="superscript"/>
        <sz val="12"/>
        <color theme="1"/>
        <rFont val="Times New Roman"/>
        <family val="1"/>
      </rPr>
      <t>i</t>
    </r>
    <r>
      <rPr>
        <b/>
        <vertAlign val="subscript"/>
        <sz val="12"/>
        <color theme="1"/>
        <rFont val="Times New Roman"/>
        <family val="1"/>
      </rPr>
      <t>NCXD</t>
    </r>
    <r>
      <rPr>
        <b/>
        <sz val="12"/>
        <color theme="1"/>
        <rFont val="Times New Roman"/>
        <family val="1"/>
      </rPr>
      <t>) (đ/ngc)</t>
    </r>
  </si>
  <si>
    <r>
      <t>HỆ SỐ CẤP BẬC (H</t>
    </r>
    <r>
      <rPr>
        <b/>
        <vertAlign val="superscript"/>
        <sz val="12"/>
        <rFont val="Times New Roman"/>
        <family val="1"/>
      </rPr>
      <t>i</t>
    </r>
    <r>
      <rPr>
        <b/>
        <vertAlign val="subscript"/>
        <sz val="12"/>
        <rFont val="Times New Roman"/>
        <family val="1"/>
      </rPr>
      <t>CB</t>
    </r>
    <r>
      <rPr>
        <b/>
        <sz val="12"/>
        <rFont val="Times New Roman"/>
        <family val="1"/>
      </rPr>
      <t>)</t>
    </r>
  </si>
  <si>
    <r>
      <t>HỆ SỐ CẤP BẬC BÌNH QUÂN (H</t>
    </r>
    <r>
      <rPr>
        <b/>
        <vertAlign val="superscript"/>
        <sz val="12"/>
        <rFont val="Times New Roman"/>
        <family val="1"/>
      </rPr>
      <t>j</t>
    </r>
    <r>
      <rPr>
        <b/>
        <vertAlign val="subscript"/>
        <sz val="12"/>
        <rFont val="Times New Roman"/>
        <family val="1"/>
      </rPr>
      <t>CB</t>
    </r>
    <r>
      <rPr>
        <b/>
        <sz val="12"/>
        <rFont val="Times New Roman"/>
        <family val="1"/>
      </rPr>
      <t>)</t>
    </r>
  </si>
  <si>
    <r>
      <t>ĐGNCLD
BÌNH QUÂN 
(G</t>
    </r>
    <r>
      <rPr>
        <b/>
        <vertAlign val="superscript"/>
        <sz val="12"/>
        <rFont val="Times New Roman"/>
        <family val="1"/>
      </rPr>
      <t>j</t>
    </r>
    <r>
      <rPr>
        <b/>
        <vertAlign val="subscript"/>
        <sz val="12"/>
        <rFont val="Times New Roman"/>
        <family val="1"/>
      </rPr>
      <t>NCXD</t>
    </r>
    <r>
      <rPr>
        <b/>
        <sz val="12"/>
        <rFont val="Times New Roman"/>
        <family val="1"/>
      </rPr>
      <t>) (đ/ngc)</t>
    </r>
  </si>
  <si>
    <t>TỔNG CỘNG (1+2)</t>
  </si>
  <si>
    <t>TỔNG CỘNG (1+2+3+4+5+6+7+8)</t>
  </si>
  <si>
    <r>
      <t>ĐƠN GIÁ NHÂN CÔNG
(G</t>
    </r>
    <r>
      <rPr>
        <b/>
        <vertAlign val="superscript"/>
        <sz val="12"/>
        <rFont val="Times New Roman"/>
        <family val="1"/>
      </rPr>
      <t>i</t>
    </r>
    <r>
      <rPr>
        <b/>
        <vertAlign val="subscript"/>
        <sz val="12"/>
        <rFont val="Times New Roman"/>
        <family val="1"/>
      </rPr>
      <t>NCXD</t>
    </r>
    <r>
      <rPr>
        <b/>
        <sz val="12"/>
        <rFont val="Times New Roman"/>
        <family val="1"/>
      </rPr>
      <t>) (đ/ngc)</t>
    </r>
  </si>
  <si>
    <t>Thợ điều khiển tàu biển</t>
  </si>
  <si>
    <t>Chi phí kiểm toán độc lập</t>
  </si>
  <si>
    <t>2.</t>
  </si>
  <si>
    <t>1.</t>
  </si>
  <si>
    <t>3.</t>
  </si>
  <si>
    <t>4.</t>
  </si>
  <si>
    <t>5.</t>
  </si>
  <si>
    <r>
      <t>Chi phí xây dựng (G</t>
    </r>
    <r>
      <rPr>
        <vertAlign val="subscript"/>
        <sz val="14"/>
        <rFont val="Times New Roman"/>
        <family val="1"/>
      </rPr>
      <t>XD</t>
    </r>
    <r>
      <rPr>
        <sz val="14"/>
        <rFont val="Times New Roman"/>
        <family val="1"/>
      </rPr>
      <t>):</t>
    </r>
  </si>
  <si>
    <r>
      <t>Chi phí thiết bị (G</t>
    </r>
    <r>
      <rPr>
        <vertAlign val="subscript"/>
        <sz val="14"/>
        <rFont val="Times New Roman"/>
        <family val="1"/>
      </rPr>
      <t>TB</t>
    </r>
    <r>
      <rPr>
        <sz val="14"/>
        <rFont val="Times New Roman"/>
        <family val="1"/>
      </rPr>
      <t>):</t>
    </r>
  </si>
  <si>
    <r>
      <t>Chi phí quản lý dự án (G</t>
    </r>
    <r>
      <rPr>
        <vertAlign val="subscript"/>
        <sz val="14"/>
        <rFont val="Times New Roman"/>
        <family val="1"/>
      </rPr>
      <t>QLDA</t>
    </r>
    <r>
      <rPr>
        <sz val="14"/>
        <rFont val="Times New Roman"/>
        <family val="1"/>
      </rPr>
      <t>):</t>
    </r>
  </si>
  <si>
    <r>
      <t>Chi phí tư vấn đầu tư xây dựng (G</t>
    </r>
    <r>
      <rPr>
        <vertAlign val="subscript"/>
        <sz val="14"/>
        <rFont val="Times New Roman"/>
        <family val="1"/>
      </rPr>
      <t>TV</t>
    </r>
    <r>
      <rPr>
        <sz val="14"/>
        <rFont val="Times New Roman"/>
        <family val="1"/>
      </rPr>
      <t>):</t>
    </r>
  </si>
  <si>
    <r>
      <t>Chi phí khác (G</t>
    </r>
    <r>
      <rPr>
        <vertAlign val="subscript"/>
        <sz val="14"/>
        <rFont val="Times New Roman"/>
        <family val="1"/>
      </rPr>
      <t>K</t>
    </r>
    <r>
      <rPr>
        <sz val="14"/>
        <rFont val="Times New Roman"/>
        <family val="1"/>
      </rPr>
      <t>):</t>
    </r>
  </si>
  <si>
    <r>
      <t>Giá trị dự toán XDCT trước chi phí dự phòng (G</t>
    </r>
    <r>
      <rPr>
        <b/>
        <vertAlign val="subscript"/>
        <sz val="14"/>
        <rFont val="Times New Roman"/>
        <family val="1"/>
      </rPr>
      <t>XDCT</t>
    </r>
    <r>
      <rPr>
        <b/>
        <sz val="14"/>
        <rFont val="Times New Roman"/>
        <family val="1"/>
      </rPr>
      <t>):</t>
    </r>
  </si>
  <si>
    <r>
      <t>Trượt giá tích luỹ (G</t>
    </r>
    <r>
      <rPr>
        <vertAlign val="subscript"/>
        <sz val="14"/>
        <rFont val="Times New Roman"/>
        <family val="1"/>
      </rPr>
      <t>DP2</t>
    </r>
    <r>
      <rPr>
        <sz val="14"/>
        <rFont val="Times New Roman"/>
        <family val="1"/>
      </rPr>
      <t>)</t>
    </r>
  </si>
  <si>
    <r>
      <t>G</t>
    </r>
    <r>
      <rPr>
        <vertAlign val="subscript"/>
        <sz val="14"/>
        <rFont val="Times New Roman"/>
        <family val="1"/>
      </rPr>
      <t>DPXD</t>
    </r>
    <r>
      <rPr>
        <sz val="14"/>
        <rFont val="Times New Roman"/>
        <family val="1"/>
      </rPr>
      <t xml:space="preserve"> = G</t>
    </r>
    <r>
      <rPr>
        <vertAlign val="subscript"/>
        <sz val="14"/>
        <rFont val="Times New Roman"/>
        <family val="1"/>
      </rPr>
      <t>DPXD1</t>
    </r>
    <r>
      <rPr>
        <sz val="14"/>
        <rFont val="Times New Roman"/>
        <family val="1"/>
      </rPr>
      <t xml:space="preserve"> + G</t>
    </r>
    <r>
      <rPr>
        <vertAlign val="subscript"/>
        <sz val="14"/>
        <rFont val="Times New Roman"/>
        <family val="1"/>
      </rPr>
      <t>DPXD2</t>
    </r>
    <r>
      <rPr>
        <sz val="14"/>
        <rFont val="Times New Roman"/>
        <family val="1"/>
      </rPr>
      <t xml:space="preserve"> =</t>
    </r>
  </si>
  <si>
    <r>
      <t>Trượt giá tích luỹ (G</t>
    </r>
    <r>
      <rPr>
        <vertAlign val="subscript"/>
        <sz val="14"/>
        <rFont val="Times New Roman"/>
        <family val="1"/>
      </rPr>
      <t>DPTB2</t>
    </r>
    <r>
      <rPr>
        <sz val="14"/>
        <rFont val="Times New Roman"/>
        <family val="1"/>
      </rPr>
      <t>)</t>
    </r>
  </si>
  <si>
    <r>
      <t>G</t>
    </r>
    <r>
      <rPr>
        <vertAlign val="subscript"/>
        <sz val="14"/>
        <rFont val="Times New Roman"/>
        <family val="1"/>
      </rPr>
      <t>DPTB</t>
    </r>
    <r>
      <rPr>
        <sz val="14"/>
        <rFont val="Times New Roman"/>
        <family val="1"/>
      </rPr>
      <t xml:space="preserve"> = G</t>
    </r>
    <r>
      <rPr>
        <vertAlign val="subscript"/>
        <sz val="14"/>
        <rFont val="Times New Roman"/>
        <family val="1"/>
      </rPr>
      <t>DPTB1</t>
    </r>
    <r>
      <rPr>
        <sz val="14"/>
        <rFont val="Times New Roman"/>
        <family val="1"/>
      </rPr>
      <t xml:space="preserve"> + G</t>
    </r>
    <r>
      <rPr>
        <vertAlign val="subscript"/>
        <sz val="14"/>
        <rFont val="Times New Roman"/>
        <family val="1"/>
      </rPr>
      <t>DPTB2</t>
    </r>
    <r>
      <rPr>
        <sz val="14"/>
        <rFont val="Times New Roman"/>
        <family val="1"/>
      </rPr>
      <t xml:space="preserve"> =</t>
    </r>
  </si>
  <si>
    <r>
      <t>2. Dự phòng cho yếu tố trượt giá (G</t>
    </r>
    <r>
      <rPr>
        <b/>
        <vertAlign val="subscript"/>
        <sz val="14"/>
        <rFont val="Times New Roman"/>
        <family val="1"/>
      </rPr>
      <t>dp2</t>
    </r>
    <r>
      <rPr>
        <b/>
        <sz val="14"/>
        <rFont val="Times New Roman"/>
        <family val="1"/>
      </rPr>
      <t>)</t>
    </r>
  </si>
  <si>
    <t>Hệ số trượt giá (chỉ số giá xây dựng năm thứ n+1 chia cho chỉ số giá xây dựng năm thứ n)</t>
  </si>
  <si>
    <r>
      <t>- I</t>
    </r>
    <r>
      <rPr>
        <vertAlign val="subscript"/>
        <sz val="14"/>
        <rFont val="Times New Roman"/>
        <family val="1"/>
      </rPr>
      <t>XDCTbq</t>
    </r>
    <r>
      <rPr>
        <sz val="14"/>
        <rFont val="Times New Roman"/>
        <family val="1"/>
      </rPr>
      <t>: chỉ số giá xây dựng sử dụng tính dự phòng cho yếu tố trượt giá được xác định theo công thức sau:</t>
    </r>
  </si>
  <si>
    <t xml:space="preserve"> Trong đó:</t>
  </si>
  <si>
    <r>
      <t>I</t>
    </r>
    <r>
      <rPr>
        <i/>
        <vertAlign val="subscript"/>
        <sz val="14"/>
        <color theme="1"/>
        <rFont val="Times New Roman"/>
        <family val="1"/>
      </rPr>
      <t>n</t>
    </r>
    <r>
      <rPr>
        <i/>
        <sz val="14"/>
        <color theme="1"/>
        <rFont val="Times New Roman"/>
        <family val="1"/>
      </rPr>
      <t>: chỉ số giá xây dựng năm thứ n được lựa chọn;</t>
    </r>
  </si>
  <si>
    <r>
      <t>I</t>
    </r>
    <r>
      <rPr>
        <i/>
        <vertAlign val="subscript"/>
        <sz val="14"/>
        <color theme="1"/>
        <rFont val="Times New Roman"/>
        <family val="1"/>
      </rPr>
      <t>n+1</t>
    </r>
    <r>
      <rPr>
        <i/>
        <sz val="14"/>
        <color theme="1"/>
        <rFont val="Times New Roman"/>
        <family val="1"/>
      </rPr>
      <t>: chỉ số giá xây dựng năm thứ n+1;</t>
    </r>
  </si>
  <si>
    <t xml:space="preserve"> - Kích chuột vào các ô bôi màu hoặc có comment để xem hướng dẫn.</t>
  </si>
  <si>
    <r>
      <t>G</t>
    </r>
    <r>
      <rPr>
        <vertAlign val="subscript"/>
        <sz val="14"/>
        <rFont val="Times New Roman"/>
        <family val="1"/>
      </rPr>
      <t>DP1</t>
    </r>
    <r>
      <rPr>
        <sz val="14"/>
        <rFont val="Times New Roman"/>
        <family val="1"/>
      </rPr>
      <t xml:space="preserve"> = G</t>
    </r>
    <r>
      <rPr>
        <vertAlign val="subscript"/>
        <sz val="14"/>
        <rFont val="Times New Roman"/>
        <family val="1"/>
      </rPr>
      <t>XDCT</t>
    </r>
    <r>
      <rPr>
        <sz val="14"/>
        <rFont val="Times New Roman"/>
        <family val="1"/>
      </rPr>
      <t xml:space="preserve"> x K</t>
    </r>
    <r>
      <rPr>
        <vertAlign val="subscript"/>
        <sz val="14"/>
        <rFont val="Times New Roman"/>
        <family val="1"/>
      </rPr>
      <t>ps</t>
    </r>
    <r>
      <rPr>
        <sz val="14"/>
        <rFont val="Times New Roman"/>
        <family val="1"/>
      </rPr>
      <t xml:space="preserve"> =</t>
    </r>
  </si>
  <si>
    <r>
      <t>K</t>
    </r>
    <r>
      <rPr>
        <vertAlign val="subscript"/>
        <sz val="14"/>
        <rFont val="Times New Roman"/>
        <family val="1"/>
      </rPr>
      <t>ps</t>
    </r>
    <r>
      <rPr>
        <sz val="14"/>
        <rFont val="Times New Roman"/>
        <family val="1"/>
      </rPr>
      <t xml:space="preserve"> =</t>
    </r>
  </si>
  <si>
    <r>
      <t>Chỉ số giá xây dựng sử dụng tính dự phòng cho yếu tố trượt giá I</t>
    </r>
    <r>
      <rPr>
        <vertAlign val="subscript"/>
        <sz val="14"/>
        <rFont val="Times New Roman"/>
        <family val="1"/>
      </rPr>
      <t>XDCTbq</t>
    </r>
  </si>
  <si>
    <t>Giá trị dự toán xây dựng công trình trước chi phí dự phòng (tỷ đồng)</t>
  </si>
  <si>
    <t>Giá trị dự toán xây dựng công trình đã có trượt giá (tỷ đồng)</t>
  </si>
  <si>
    <t>Chi phí dự phòng cho yếu tố trượt giá từng năm</t>
  </si>
  <si>
    <t>Tỷ lệ dự phòng cho yếu tố trượt giá:</t>
  </si>
  <si>
    <r>
      <t>G</t>
    </r>
    <r>
      <rPr>
        <vertAlign val="subscript"/>
        <sz val="14"/>
        <rFont val="Times New Roman"/>
        <family val="1"/>
      </rPr>
      <t>DPXD1</t>
    </r>
    <r>
      <rPr>
        <sz val="14"/>
        <rFont val="Times New Roman"/>
        <family val="1"/>
      </rPr>
      <t xml:space="preserve"> = G</t>
    </r>
    <r>
      <rPr>
        <vertAlign val="subscript"/>
        <sz val="14"/>
        <rFont val="Times New Roman"/>
        <family val="1"/>
      </rPr>
      <t>XD</t>
    </r>
    <r>
      <rPr>
        <sz val="14"/>
        <rFont val="Times New Roman"/>
        <family val="1"/>
      </rPr>
      <t xml:space="preserve"> * K</t>
    </r>
    <r>
      <rPr>
        <vertAlign val="subscript"/>
        <sz val="14"/>
        <rFont val="Times New Roman"/>
        <family val="1"/>
      </rPr>
      <t>ps</t>
    </r>
    <r>
      <rPr>
        <sz val="14"/>
        <rFont val="Times New Roman"/>
        <family val="1"/>
      </rPr>
      <t xml:space="preserve"> = </t>
    </r>
  </si>
  <si>
    <r>
      <t>1. Dự phòng cho khối lượng công việc phát sinh (G</t>
    </r>
    <r>
      <rPr>
        <b/>
        <vertAlign val="subscript"/>
        <sz val="14"/>
        <rFont val="Times New Roman"/>
        <family val="1"/>
      </rPr>
      <t>dp1</t>
    </r>
    <r>
      <rPr>
        <b/>
        <sz val="14"/>
        <rFont val="Times New Roman"/>
        <family val="1"/>
      </rPr>
      <t>)</t>
    </r>
  </si>
  <si>
    <r>
      <t>2. Dự phòng cho yếu tố trượt giá (G</t>
    </r>
    <r>
      <rPr>
        <b/>
        <vertAlign val="subscript"/>
        <sz val="14"/>
        <rFont val="Times New Roman"/>
        <family val="1"/>
      </rPr>
      <t>DPXD2</t>
    </r>
    <r>
      <rPr>
        <b/>
        <sz val="14"/>
        <rFont val="Times New Roman"/>
        <family val="1"/>
      </rPr>
      <t>)</t>
    </r>
  </si>
  <si>
    <r>
      <t>G</t>
    </r>
    <r>
      <rPr>
        <vertAlign val="subscript"/>
        <sz val="14"/>
        <rFont val="Times New Roman"/>
        <family val="1"/>
      </rPr>
      <t>DPTB1</t>
    </r>
    <r>
      <rPr>
        <sz val="14"/>
        <rFont val="Times New Roman"/>
        <family val="1"/>
      </rPr>
      <t xml:space="preserve"> = G</t>
    </r>
    <r>
      <rPr>
        <vertAlign val="subscript"/>
        <sz val="14"/>
        <rFont val="Times New Roman"/>
        <family val="1"/>
      </rPr>
      <t>TB</t>
    </r>
    <r>
      <rPr>
        <sz val="14"/>
        <rFont val="Times New Roman"/>
        <family val="1"/>
      </rPr>
      <t xml:space="preserve"> * K</t>
    </r>
    <r>
      <rPr>
        <vertAlign val="subscript"/>
        <sz val="14"/>
        <rFont val="Times New Roman"/>
        <family val="1"/>
      </rPr>
      <t>ps</t>
    </r>
    <r>
      <rPr>
        <sz val="14"/>
        <rFont val="Times New Roman"/>
        <family val="1"/>
      </rPr>
      <t xml:space="preserve"> = </t>
    </r>
  </si>
  <si>
    <t>Tổng tỷ lệ chi phí dự phòng của công trình:</t>
  </si>
  <si>
    <r>
      <t>Chi phí dự phòng cho công trình G</t>
    </r>
    <r>
      <rPr>
        <vertAlign val="subscript"/>
        <sz val="14"/>
        <rFont val="Times New Roman"/>
        <family val="1"/>
      </rPr>
      <t>DP</t>
    </r>
    <r>
      <rPr>
        <sz val="14"/>
        <rFont val="Times New Roman"/>
        <family val="1"/>
      </rPr>
      <t xml:space="preserve"> = G</t>
    </r>
    <r>
      <rPr>
        <vertAlign val="subscript"/>
        <sz val="14"/>
        <rFont val="Times New Roman"/>
        <family val="1"/>
      </rPr>
      <t>DP1</t>
    </r>
    <r>
      <rPr>
        <sz val="14"/>
        <rFont val="Times New Roman"/>
        <family val="1"/>
      </rPr>
      <t xml:space="preserve"> + G</t>
    </r>
    <r>
      <rPr>
        <vertAlign val="subscript"/>
        <sz val="14"/>
        <rFont val="Times New Roman"/>
        <family val="1"/>
      </rPr>
      <t>DP2</t>
    </r>
    <r>
      <rPr>
        <sz val="14"/>
        <rFont val="Times New Roman"/>
        <family val="1"/>
      </rPr>
      <t xml:space="preserve"> =</t>
    </r>
  </si>
  <si>
    <t xml:space="preserve"> - Điều chỉnh công thức cho phù hợp với kế hoạch tiến độ thi công xây dựng công trình cần lập dự toán.</t>
  </si>
  <si>
    <t>Tiến độ thực hiện (quý, năm)</t>
  </si>
  <si>
    <r>
      <t>Chi phí thiết bị chưa có dự phòng (G</t>
    </r>
    <r>
      <rPr>
        <b/>
        <vertAlign val="superscript"/>
        <sz val="14"/>
        <rFont val="Times New Roman"/>
        <family val="1"/>
      </rPr>
      <t>t</t>
    </r>
    <r>
      <rPr>
        <b/>
        <vertAlign val="subscript"/>
        <sz val="14"/>
        <rFont val="Times New Roman"/>
        <family val="1"/>
      </rPr>
      <t>TB</t>
    </r>
    <r>
      <rPr>
        <b/>
        <sz val="14"/>
        <rFont val="Times New Roman"/>
        <family val="1"/>
      </rPr>
      <t>)</t>
    </r>
  </si>
  <si>
    <t>Loại báo cáo</t>
  </si>
  <si>
    <t>Chi phí xây dựng trước thuế (Gxdtt)</t>
  </si>
  <si>
    <t>Chi phí thiết bị trước thuế (Gtbtt)</t>
  </si>
  <si>
    <t>Giá trị Tổng mức đầu tư (TMĐT)</t>
  </si>
  <si>
    <t>CÁC THÔNG SỐ ĐẦU VÀO ĐỂ NỘI SUY ĐỊNH MỨC TỶ LỆ</t>
  </si>
  <si>
    <t>Chi phí thiết kế kỹ thuật</t>
  </si>
  <si>
    <t>Chi phí thiết kế bản vẽ thi công</t>
  </si>
  <si>
    <t>+ Trường hợp thiết kế 2 bước</t>
  </si>
  <si>
    <t>+ Trường hợp thiết kế 3 bước</t>
  </si>
  <si>
    <t>Tổng mức đầu tư sau khi loại trừ chi phí dự phòng</t>
  </si>
  <si>
    <r>
      <t>G</t>
    </r>
    <r>
      <rPr>
        <vertAlign val="subscript"/>
        <sz val="10"/>
        <rFont val="Times New Roman"/>
        <family val="1"/>
      </rPr>
      <t>XDCT</t>
    </r>
    <r>
      <rPr>
        <sz val="10"/>
        <rFont val="Times New Roman"/>
        <family val="1"/>
      </rPr>
      <t xml:space="preserve"> x k</t>
    </r>
    <r>
      <rPr>
        <vertAlign val="subscript"/>
        <sz val="10"/>
        <rFont val="Times New Roman"/>
        <family val="1"/>
      </rPr>
      <t>ps</t>
    </r>
  </si>
  <si>
    <t>TỔNG HỢP DỰ TOÁN XÂY DỰNG CÔNG TRÌNH</t>
  </si>
  <si>
    <t>Thời điểm lập dự toán (ngày, tháng, năm):</t>
  </si>
  <si>
    <t>TỔNG HỢP DỰ TOÁN CHI PHÍ THIẾT BỊ</t>
  </si>
  <si>
    <t>TỔNG HỢP DỰ TOÁN GÓI THẦU THI CÔNG XÂY DỰNG</t>
  </si>
  <si>
    <t>Tên Gói thầu:</t>
  </si>
  <si>
    <r>
      <t xml:space="preserve">Chi phí dự phòng </t>
    </r>
    <r>
      <rPr>
        <sz val="12"/>
        <rFont val="Times New Roman"/>
        <family val="1"/>
      </rPr>
      <t>(G</t>
    </r>
    <r>
      <rPr>
        <vertAlign val="subscript"/>
        <sz val="12"/>
        <rFont val="Times New Roman"/>
        <family val="1"/>
      </rPr>
      <t>DPXD1</t>
    </r>
    <r>
      <rPr>
        <sz val="12"/>
        <rFont val="Times New Roman"/>
        <family val="1"/>
      </rPr>
      <t xml:space="preserve"> + G</t>
    </r>
    <r>
      <rPr>
        <vertAlign val="subscript"/>
        <sz val="12"/>
        <rFont val="Times New Roman"/>
        <family val="1"/>
      </rPr>
      <t>DPXD2</t>
    </r>
    <r>
      <rPr>
        <sz val="12"/>
        <rFont val="Times New Roman"/>
        <family val="1"/>
      </rPr>
      <t>)</t>
    </r>
  </si>
  <si>
    <t>2.1</t>
  </si>
  <si>
    <t>2.2</t>
  </si>
  <si>
    <t>TỔNG HỢP DỰ TOÁN GÓI THẦU MUA SẮM THIẾT BỊ</t>
  </si>
  <si>
    <t>Thời điểm lập dự toán gói thầu (ngày ... tháng ... năm):</t>
  </si>
  <si>
    <t>Thời gian thực hiện gói thầu (… tháng ... năm):</t>
  </si>
  <si>
    <t>Chi phí xây dựng và thiết bị (chưa có thuế GTGT) ước tính trong tổng mức đầu tư (tỷ đồng)</t>
  </si>
  <si>
    <t>Chi phí xây dựng (chưa có thuế GTGT) trong tổng mức đầu tư hoặc trong dự toán gói thầu (tỷ đồng)</t>
  </si>
  <si>
    <t>Chi phí xây dựng (chưa có thuế GTGT) trong dự toán gói thầu thi công xây dựng (tỷ đồng)</t>
  </si>
  <si>
    <t>Chi phí vật tư, thiết bị (chưa có thuế GTGT) trong dự toán gói thầu mua sắm vật tư, thiết bị (tỷ đồng)</t>
  </si>
  <si>
    <t>Chi phí thiết bị (chưa có thuế GTGT) trong dự toán gói thầu thiết bị (tỷ đồng)</t>
  </si>
  <si>
    <t>Giá trị tổng mức đầu tư (chưa có thuế GTGT) được duyệt (tỷ đồng)</t>
  </si>
  <si>
    <r>
      <t>Các năm tính chỉ số giá (T</t>
    </r>
    <r>
      <rPr>
        <b/>
        <sz val="14"/>
        <rFont val="Calibri"/>
        <family val="2"/>
      </rPr>
      <t>≥</t>
    </r>
    <r>
      <rPr>
        <b/>
        <sz val="14"/>
        <rFont val="Times New Roman"/>
        <family val="1"/>
      </rPr>
      <t>3)</t>
    </r>
  </si>
  <si>
    <r>
      <t>T: số năm (năm gần nhất so với thời điểm tính toán sử dụng để xác định I</t>
    </r>
    <r>
      <rPr>
        <i/>
        <vertAlign val="subscript"/>
        <sz val="14"/>
        <rFont val="Times New Roman"/>
        <family val="1"/>
      </rPr>
      <t>XDCTbq</t>
    </r>
    <r>
      <rPr>
        <i/>
        <sz val="14"/>
        <rFont val="Times New Roman"/>
        <family val="1"/>
      </rPr>
      <t>; T</t>
    </r>
    <r>
      <rPr>
        <sz val="14"/>
        <rFont val="Calibri"/>
        <family val="2"/>
      </rPr>
      <t>≥</t>
    </r>
    <r>
      <rPr>
        <i/>
        <sz val="14"/>
        <rFont val="Times New Roman"/>
        <family val="1"/>
      </rPr>
      <t>3;</t>
    </r>
  </si>
  <si>
    <t>NGUỒN MUA VẬT LIỆU</t>
  </si>
  <si>
    <t>TỔNG CỰ LY (Km)</t>
  </si>
  <si>
    <t>HỆ SỐ LOẠI ĐƯỜNG</t>
  </si>
  <si>
    <t>CUNG ĐƯỜNG</t>
  </si>
  <si>
    <t>ĐỊNH MỨC CA MÁY</t>
  </si>
  <si>
    <t>GIÁ CA MÁY</t>
  </si>
  <si>
    <t>GIÁ CƯỚC THEO LOẠI ĐƯỜNG
(đ/đvt)</t>
  </si>
  <si>
    <t>CỰ LY VẬN CHUYỂN (m)</t>
  </si>
  <si>
    <t>CỰ LY
 10m KHỞI ĐIỂM</t>
  </si>
  <si>
    <t>CỰ LY 10m TIẾP THEO</t>
  </si>
  <si>
    <t>HỆ SỐ ĐỘ DỐC</t>
  </si>
  <si>
    <t>HỆ SỐ ĐỊA HÌNH</t>
  </si>
  <si>
    <t>SỐ TẦNG VẬN CHUYỂN THỦ CÔNG</t>
  </si>
  <si>
    <t>ĐỊNH MỨC SỐ TẦNG</t>
  </si>
  <si>
    <t xml:space="preserve">GIÁ NHÂN CÔNG </t>
  </si>
  <si>
    <t>ĐỊNH MỨC  10m KHỞI ĐIỂM</t>
  </si>
  <si>
    <t>THÀNH TIỀN 10m KHỞI ĐIỂM</t>
  </si>
  <si>
    <t>ĐỊNH MỨC  10m TIẾP THEO</t>
  </si>
  <si>
    <t>THÀNH TIỀN 10m TIẾP THEO</t>
  </si>
  <si>
    <t>ĐỊNH MỨC BỐC LÊN</t>
  </si>
  <si>
    <t>THÀNH TIỀN BỐC LÊN</t>
  </si>
  <si>
    <t>ĐỊNH MỨC BỐC XUỐNG</t>
  </si>
  <si>
    <t>THÀNH TIỀN BỐC XUỐNG</t>
  </si>
  <si>
    <t>CHI PHÍ BỐC XẾP</t>
  </si>
  <si>
    <t>CHI PHÍ VẬN CHUYỂN NỘI BỘ CÔNG TRÌNH</t>
  </si>
  <si>
    <t>CHI PHÍ HAO HỤT BẢO QUẢN TẠI HIỆN TRƯỜNG CÔNG TRÌNH</t>
  </si>
  <si>
    <t xml:space="preserve">CỰ LY
 ≤1km </t>
  </si>
  <si>
    <t>CỰ LY ≤10km</t>
  </si>
  <si>
    <t>ĐỊNH MỨC ≤1km</t>
  </si>
  <si>
    <t>ĐỊNH MỨC ≤10km</t>
  </si>
  <si>
    <t>VẬN CHUYỂN BẰNG Ô TÔ</t>
  </si>
  <si>
    <t>VẬN CHUYỂN THỦ CÔNG</t>
  </si>
  <si>
    <t>ĐỊNH MỨC HAO HỤT BẢO QUẢN TẠI HIỆN TRƯỜNG
(%)</t>
  </si>
  <si>
    <t>MSVT CỦA MÁY</t>
  </si>
  <si>
    <t>[9]=[4]+[5]+[6]+[7]+[8]</t>
  </si>
  <si>
    <t>Tổng vốn đầu tư (tỷ đồng)</t>
  </si>
  <si>
    <t>Nhóm 5. Dự án công nghiệp</t>
  </si>
  <si>
    <t>Đến 10</t>
  </si>
  <si>
    <t>Nhóm 4. Dự án giao thông</t>
  </si>
  <si>
    <t>Trên 10 đến 20</t>
  </si>
  <si>
    <t>Nhóm 3. Dự án nông nghiệp, lâm nghiệp, thủy sản, thủy lợi</t>
  </si>
  <si>
    <t>Trên 20 đến 50</t>
  </si>
  <si>
    <t>Nhóm 2. Dự án hạ tầng kỹ thuật</t>
  </si>
  <si>
    <t>Trên 50 đến 100</t>
  </si>
  <si>
    <t>Trên 100 đến 200</t>
  </si>
  <si>
    <t>Trên 200 đến 500</t>
  </si>
  <si>
    <t>Trên 500 đến 1.000</t>
  </si>
  <si>
    <t>Trên 1.000 đến 1.500</t>
  </si>
  <si>
    <t>Trên 1.500 đến 2.000</t>
  </si>
  <si>
    <t>Trên 2.000 đến 3.000</t>
  </si>
  <si>
    <t>Trên 3.000 đến 5.000</t>
  </si>
  <si>
    <t>Trên 5.000 đến 7.000</t>
  </si>
  <si>
    <t>Trên 7.000</t>
  </si>
  <si>
    <t>1. Mức thu phí thẩm định lại báo cáo đánh giá tác động môi trường bằng 50% mức thu phí thẩm định lần đầu tương ứng trong Biểu nêu trên.</t>
  </si>
  <si>
    <t>2. Nhóm dự án</t>
  </si>
  <si>
    <t>a) Nhóm 1. Dự án công trình dân dụng.</t>
  </si>
  <si>
    <t>b) Nhóm 2. Dự án hạ tầng kỹ thuật (trừ dự án giao thông).</t>
  </si>
  <si>
    <t>c) Nhóm 3. Dự án nông nghiệp, lâm nghiệp, thủy sản, thủy lợi.</t>
  </si>
  <si>
    <t>d) Nhóm 4. Dự án giao thông.</t>
  </si>
  <si>
    <t>e) Nhóm 5. Dự án công nghiệp.</t>
  </si>
  <si>
    <t>g) Nhóm 6. Dự án xử lý chất thải và cải thiện môi trường và các Dự án khác (không thuộc nhóm 1, 2, 3, 4, 5 nêu trên).</t>
  </si>
  <si>
    <t>QUY ĐỔI ĐƠN VỊ</t>
  </si>
  <si>
    <t>CỰ LY ≤60km</t>
  </si>
  <si>
    <t>ĐỊNH MỨC ≤60km</t>
  </si>
  <si>
    <t>C+LT+TT</t>
  </si>
  <si>
    <t>(Tổng hợp tất cả các hạng mục)</t>
  </si>
  <si>
    <t>*</t>
  </si>
  <si>
    <t>Chi phí mua sắm thiết bị công trình và thiết bị công nghệ</t>
  </si>
  <si>
    <t>Chi phí gia công, chế tạo thiết bị cần gia công, chế tạo (nếu có)</t>
  </si>
  <si>
    <t>Chi phí quản lý mua sắm thiết bị (nếu có)</t>
  </si>
  <si>
    <t>Chi phí mua bản quyền phần mềm sử dụng cho thiết bị công trình, thiết bị công nghệ của dự án (nếu có)</t>
  </si>
  <si>
    <t>Chi phí đào tạo và chuyển giao công nghệ (nếu có)</t>
  </si>
  <si>
    <t>Chi phí lắp đặt, thí nghiệm, hiệu chỉnh</t>
  </si>
  <si>
    <t>Chi phí chạy thử nghiệm thiết bị theo yêu cầu kỹ thuật</t>
  </si>
  <si>
    <t>Chi phí vận chuyển</t>
  </si>
  <si>
    <t>Chi phí khác có liên quan (nếu có)</t>
  </si>
  <si>
    <t>- Nghị định số 10/2021/NĐ-CP ngày 09/02/2021 của Chính phủ về quản lý chi phí đầu tư xây dựng.</t>
  </si>
  <si>
    <t>- Thông tư số 11/2021/TT-BXD ngày 31/08/2021 của Bộ Xây dựng Quy định chi tiết một số nội dung về xác định và quản lý chi phí đầu tư xây dựng</t>
  </si>
  <si>
    <t>- Thông tư số 12/2021/TT-BXD ngày 31/08/2021 của Bộ Xây dựng Ban hành định mức xây dựng</t>
  </si>
  <si>
    <t>- Thông tư số 13/2021/TT-BXD ngày 31/08/2021 của Bộ Xây dựng Hướng dẫn phương pháp xác định các chỉ tiêu kinh tế kỹ thuật và đo bóc khối lượng công trình.</t>
  </si>
  <si>
    <t>- Đơn giá nhân công xây dựng công bố kèm theo quyết định số .../QĐ-UBND ngày .../.../20.. của Tỉnh ....</t>
  </si>
  <si>
    <t>DT_2021</t>
  </si>
  <si>
    <t>lập dự toán</t>
  </si>
  <si>
    <r>
      <t>G</t>
    </r>
    <r>
      <rPr>
        <b/>
        <vertAlign val="subscript"/>
        <sz val="12"/>
        <rFont val="Times New Roman"/>
        <family val="1"/>
      </rPr>
      <t>GC</t>
    </r>
  </si>
  <si>
    <r>
      <t>G</t>
    </r>
    <r>
      <rPr>
        <b/>
        <vertAlign val="subscript"/>
        <sz val="12"/>
        <rFont val="Times New Roman"/>
        <family val="1"/>
      </rPr>
      <t>VC</t>
    </r>
  </si>
  <si>
    <t>Chi phí dự phòng cho yếu tố khối lượng, công việc phát sinh</t>
  </si>
  <si>
    <t>Chi phí xây dựng trước thuế trong tổng mức đầu tư của dự án được duyệt (tỷ đồng)</t>
  </si>
  <si>
    <t>Chi phí xây dựng (chưa có thuế GTGT) (tỷ đồng)</t>
  </si>
  <si>
    <t>Nhóm nhân công</t>
  </si>
  <si>
    <t>Công nhân xây dựng</t>
  </si>
  <si>
    <t>Chuyên gia tư vấn xây dựng</t>
  </si>
  <si>
    <t>Nhóm I</t>
  </si>
  <si>
    <t>Nhóm II</t>
  </si>
  <si>
    <t>Nhóm III</t>
  </si>
  <si>
    <t>Nhóm IV</t>
  </si>
  <si>
    <t>Xác định chi phí nhà tạm:</t>
  </si>
  <si>
    <t>Riêng công trình đường hầm</t>
  </si>
  <si>
    <t xml:space="preserve">Duy tu sửa chữa đường bộ, đường sắt, hệ thống báo hiệu hàng hải </t>
  </si>
  <si>
    <t>Công trình nông nghiệp và phát triển nông thôn thực hiện hoàn toàn bằng thủ công</t>
  </si>
  <si>
    <t>Chi phí xây dựng trong TMĐT trước thuế (tỷ đồng)</t>
  </si>
  <si>
    <t>Chi phí thiết bị trong TMĐT trước thuế (tỷ đồng)</t>
  </si>
  <si>
    <t>Lắp đặt thiết bị công nghệ trong các công trình xây dựng</t>
  </si>
  <si>
    <t>Xây lắp, thí nghiệm hiệu chỉnh điện đường dây tải điện và trạm biến áp</t>
  </si>
  <si>
    <t>Thí nghiệm vật liệu, cấu kiện và kết cấu xây dựng</t>
  </si>
  <si>
    <t>Bảng 3.2: ĐỊNH MỨC CHI PHÍ CHUNG TÍNH TRÊN CHI PHÍ NHÂN CÔNG</t>
  </si>
  <si>
    <t>Chi phí nhân công trong chi phí trực tiếp của dự toán xây dựng, lắp đặt của công trình (tỷ đồng)</t>
  </si>
  <si>
    <t>Công trình đường hầm</t>
  </si>
  <si>
    <t>Bảng 3.3: ĐỊNH MỨC CHI PHÍ NHÀ TẠM ĐỂ Ở VÀ ĐIỀU HÀNH THI CÔNG</t>
  </si>
  <si>
    <t>CPXD trước thuế trong tổng mức đầu tư của dự án được duyệt (tỷ đồng)</t>
  </si>
  <si>
    <t>Data!$B$10:$B$11</t>
  </si>
  <si>
    <t>Data!$C$10:$C$14</t>
  </si>
  <si>
    <t>Data!$D$10:$D$12</t>
  </si>
  <si>
    <t>Loại dự án</t>
  </si>
  <si>
    <t>Dự án quan trọng cấp quốc gia</t>
  </si>
  <si>
    <t>Dự án nhóm A</t>
  </si>
  <si>
    <t>Dự án nhóm B</t>
  </si>
  <si>
    <t>Dự án nhóm C</t>
  </si>
  <si>
    <t>Dự án nhóm D</t>
  </si>
  <si>
    <t>Số bước thiết kế</t>
  </si>
  <si>
    <t>Data!$E$10:$E$12</t>
  </si>
  <si>
    <t>Hệ số, Định mức tỷ lệ</t>
  </si>
  <si>
    <t>Combobox</t>
  </si>
  <si>
    <t>Data!$H$10:$H$11</t>
  </si>
  <si>
    <t>Data!$I$10:$I$14</t>
  </si>
  <si>
    <t>Data!$J$10:$J$12</t>
  </si>
  <si>
    <t>Data!$K$10:$K$12</t>
  </si>
  <si>
    <t>KHÔNG XÓA SHEET NÀY</t>
  </si>
  <si>
    <t>C (Xây dựng)</t>
  </si>
  <si>
    <t>TL (Xây dựng)</t>
  </si>
  <si>
    <t>C (Lắp đặt)</t>
  </si>
  <si>
    <t>TL (Lắp đặt)</t>
  </si>
  <si>
    <t>X</t>
  </si>
  <si>
    <t>Thuyền trưởng</t>
  </si>
  <si>
    <t>Thuyền phó</t>
  </si>
  <si>
    <t>TT13</t>
  </si>
  <si>
    <t>(Bạn kích vào các dòng màu xanh
để mở văn bản hướng dẫn)</t>
  </si>
  <si>
    <t>Bảng tổng hợp dữ liệu</t>
  </si>
  <si>
    <t>Bảng 3.1: ĐỊNH MỨC CHI PHÍ CHUNG TÍNH TRÊN CHI PHÍ TRỰC TIẾP</t>
  </si>
  <si>
    <t>CỰ LY &gt;60km</t>
  </si>
  <si>
    <t>ĐỊNH MỨC &gt;60km</t>
  </si>
  <si>
    <t>GIÁ TẠI NGUỒN CUNG CẤP</t>
  </si>
  <si>
    <t>Đơn vị tính: đồng</t>
  </si>
  <si>
    <r>
      <t>∑</t>
    </r>
    <r>
      <rPr>
        <vertAlign val="superscript"/>
        <sz val="11"/>
        <rFont val="Times New Roman"/>
        <family val="1"/>
      </rPr>
      <t>T</t>
    </r>
    <r>
      <rPr>
        <vertAlign val="subscript"/>
        <sz val="11"/>
        <color theme="1"/>
        <rFont val="Times New Roman"/>
        <family val="1"/>
      </rPr>
      <t>t=1</t>
    </r>
    <r>
      <rPr>
        <sz val="11"/>
        <color theme="1"/>
        <rFont val="Times New Roman"/>
        <family val="1"/>
      </rPr>
      <t>G</t>
    </r>
    <r>
      <rPr>
        <vertAlign val="superscript"/>
        <sz val="11"/>
        <color theme="1"/>
        <rFont val="Times New Roman"/>
        <family val="1"/>
      </rPr>
      <t>TDP</t>
    </r>
    <r>
      <rPr>
        <vertAlign val="subscript"/>
        <sz val="11"/>
        <color theme="1"/>
        <rFont val="Times New Roman"/>
        <family val="1"/>
      </rPr>
      <t>XDCTt</t>
    </r>
    <r>
      <rPr>
        <sz val="11"/>
        <color theme="1"/>
        <rFont val="Times New Roman"/>
        <family val="1"/>
      </rPr>
      <t xml:space="preserve">  x [(I</t>
    </r>
    <r>
      <rPr>
        <vertAlign val="subscript"/>
        <sz val="11"/>
        <color theme="1"/>
        <rFont val="Times New Roman"/>
        <family val="1"/>
      </rPr>
      <t>XDCTbq</t>
    </r>
    <r>
      <rPr>
        <sz val="11"/>
        <color theme="1"/>
        <rFont val="Times New Roman"/>
        <family val="1"/>
      </rPr>
      <t>±∆I</t>
    </r>
    <r>
      <rPr>
        <vertAlign val="subscript"/>
        <sz val="11"/>
        <color theme="1"/>
        <rFont val="Times New Roman"/>
        <family val="1"/>
      </rPr>
      <t>XDCT</t>
    </r>
    <r>
      <rPr>
        <sz val="11"/>
        <color theme="1"/>
        <rFont val="Times New Roman"/>
        <family val="1"/>
      </rPr>
      <t xml:space="preserve"> )</t>
    </r>
    <r>
      <rPr>
        <vertAlign val="superscript"/>
        <sz val="11"/>
        <color theme="1"/>
        <rFont val="Times New Roman"/>
        <family val="1"/>
      </rPr>
      <t>t</t>
    </r>
    <r>
      <rPr>
        <sz val="11"/>
        <color theme="1"/>
        <rFont val="Times New Roman"/>
        <family val="1"/>
      </rPr>
      <t>-1]</t>
    </r>
  </si>
  <si>
    <t>Điểm 6 Mục 1 Phụ lục II Thông tư 11/2021/TT-BXD</t>
  </si>
  <si>
    <t>Điểm 3 Mục 1 Phụ lục II Thông tư 11/2021/TT-BXD</t>
  </si>
  <si>
    <t>Điểm 2 Mục 1 Phụ lục II Thông tư 11/2021/TT-BXD</t>
  </si>
  <si>
    <t>Khoản 6 Điều 4 và điểm 5 Mục 1 Phụ lục II Thông tư 11/2021/TT-BXD</t>
  </si>
  <si>
    <t>Điểm 4 Mục 1 Phụ lục II Thông tư 11/2021/TT-BXD</t>
  </si>
  <si>
    <t>Khoản 2 Điều 4 và Phụ lục III Thông tư 11/2021/TT-BXD</t>
  </si>
  <si>
    <r>
      <t>1. Dự phòng cho yếu tố khối lượng, công việc phát sinh (G</t>
    </r>
    <r>
      <rPr>
        <b/>
        <vertAlign val="subscript"/>
        <sz val="14"/>
        <rFont val="Times New Roman"/>
        <family val="1"/>
      </rPr>
      <t>dp1</t>
    </r>
    <r>
      <rPr>
        <b/>
        <sz val="14"/>
        <rFont val="Times New Roman"/>
        <family val="1"/>
      </rPr>
      <t>)</t>
    </r>
  </si>
  <si>
    <t>2. Dự phòng cho yếu tố trượt giá (Gdp2)</t>
  </si>
  <si>
    <r>
      <t>G</t>
    </r>
    <r>
      <rPr>
        <vertAlign val="subscript"/>
        <sz val="11"/>
        <rFont val="Times New Roman"/>
        <family val="1"/>
      </rPr>
      <t>DP2</t>
    </r>
    <r>
      <rPr>
        <sz val="11"/>
        <rFont val="Times New Roman"/>
        <family val="1"/>
      </rPr>
      <t xml:space="preserve"> = ∑</t>
    </r>
    <r>
      <rPr>
        <vertAlign val="superscript"/>
        <sz val="11"/>
        <rFont val="Times New Roman"/>
        <family val="1"/>
      </rPr>
      <t>T</t>
    </r>
    <r>
      <rPr>
        <vertAlign val="subscript"/>
        <sz val="11"/>
        <color theme="1"/>
        <rFont val="Times New Roman"/>
        <family val="1"/>
      </rPr>
      <t>t=1</t>
    </r>
    <r>
      <rPr>
        <sz val="11"/>
        <color theme="1"/>
        <rFont val="Times New Roman"/>
        <family val="1"/>
      </rPr>
      <t>(G</t>
    </r>
    <r>
      <rPr>
        <vertAlign val="superscript"/>
        <sz val="11"/>
        <color theme="1"/>
        <rFont val="Times New Roman"/>
        <family val="1"/>
      </rPr>
      <t>TDP</t>
    </r>
    <r>
      <rPr>
        <vertAlign val="subscript"/>
        <sz val="11"/>
        <color theme="1"/>
        <rFont val="Times New Roman"/>
        <family val="1"/>
      </rPr>
      <t>XDCTt</t>
    </r>
    <r>
      <rPr>
        <sz val="11"/>
        <color theme="1"/>
        <rFont val="Times New Roman"/>
        <family val="1"/>
      </rPr>
      <t xml:space="preserve"> x [(I</t>
    </r>
    <r>
      <rPr>
        <vertAlign val="subscript"/>
        <sz val="11"/>
        <color theme="1"/>
        <rFont val="Times New Roman"/>
        <family val="1"/>
      </rPr>
      <t xml:space="preserve">XDCTbq </t>
    </r>
    <r>
      <rPr>
        <sz val="11"/>
        <color theme="1"/>
        <rFont val="Times New Roman"/>
        <family val="1"/>
      </rPr>
      <t>± ∆I</t>
    </r>
    <r>
      <rPr>
        <vertAlign val="subscript"/>
        <sz val="11"/>
        <color theme="1"/>
        <rFont val="Times New Roman"/>
        <family val="1"/>
      </rPr>
      <t>XDCT</t>
    </r>
    <r>
      <rPr>
        <sz val="11"/>
        <color theme="1"/>
        <rFont val="Times New Roman"/>
        <family val="1"/>
      </rPr>
      <t xml:space="preserve"> )</t>
    </r>
    <r>
      <rPr>
        <vertAlign val="superscript"/>
        <sz val="11"/>
        <color theme="1"/>
        <rFont val="Times New Roman"/>
        <family val="1"/>
      </rPr>
      <t xml:space="preserve">t </t>
    </r>
    <r>
      <rPr>
        <sz val="11"/>
        <color theme="1"/>
        <rFont val="Times New Roman"/>
        <family val="1"/>
      </rPr>
      <t>- 1]</t>
    </r>
  </si>
  <si>
    <t>- T: thời gian xây dựng công trình (xác định theo quý, năm);</t>
  </si>
  <si>
    <t>- t: khoảng thời gian tương ứng (theo quý, năm) theo kế hoạch dự kiến xây dựng công trình (t=1÷T)</t>
  </si>
  <si>
    <r>
      <t>- G</t>
    </r>
    <r>
      <rPr>
        <vertAlign val="superscript"/>
        <sz val="14"/>
        <rFont val="Times New Roman"/>
        <family val="1"/>
      </rPr>
      <t>TDP</t>
    </r>
    <r>
      <rPr>
        <vertAlign val="subscript"/>
        <sz val="14"/>
        <rFont val="Times New Roman"/>
        <family val="1"/>
      </rPr>
      <t>XDCTt</t>
    </r>
    <r>
      <rPr>
        <sz val="14"/>
        <rFont val="Times New Roman"/>
        <family val="1"/>
      </rPr>
      <t>: giá trị dự toán xây dựng công trình trước chi phí dự phòng thực hiện trong khoảng thời gian thứ t</t>
    </r>
  </si>
  <si>
    <r>
      <t>T: số năm (năm gần nhất so với thời điểm tính toán sử dụng để xác định I</t>
    </r>
    <r>
      <rPr>
        <i/>
        <vertAlign val="subscript"/>
        <sz val="14"/>
        <rFont val="Times New Roman"/>
        <family val="1"/>
      </rPr>
      <t>XDCTbq</t>
    </r>
    <r>
      <rPr>
        <i/>
        <sz val="14"/>
        <rFont val="Times New Roman"/>
        <family val="1"/>
      </rPr>
      <t>); T</t>
    </r>
    <r>
      <rPr>
        <sz val="14"/>
        <rFont val="Calibri"/>
        <family val="2"/>
      </rPr>
      <t>≥</t>
    </r>
    <r>
      <rPr>
        <i/>
        <sz val="14"/>
        <rFont val="Times New Roman"/>
        <family val="1"/>
      </rPr>
      <t>3;</t>
    </r>
  </si>
  <si>
    <r>
      <t xml:space="preserve">- </t>
    </r>
    <r>
      <rPr>
        <sz val="14"/>
        <rFont val="Symbol"/>
        <family val="1"/>
        <charset val="2"/>
      </rPr>
      <t>D</t>
    </r>
    <r>
      <rPr>
        <sz val="14"/>
        <rFont val="Times New Roman"/>
        <family val="1"/>
      </rPr>
      <t>I</t>
    </r>
    <r>
      <rPr>
        <vertAlign val="subscript"/>
        <sz val="14"/>
        <rFont val="Times New Roman"/>
        <family val="1"/>
      </rPr>
      <t>XDCTbq</t>
    </r>
    <r>
      <rPr>
        <sz val="14"/>
        <rFont val="Times New Roman"/>
        <family val="1"/>
      </rPr>
      <t>: mức biến động bình quân của chỉ số giá xây dựng theo năm xây dựng công trình so với mức độ trượt giá bình quân của năm đã tính và được xác định trên cơ sở dự báo xu hướng biến động của các yếu tố chi phí giá cả trong khu vực và quốc tế bằng kinh nghiệm chuyên gia.</t>
    </r>
  </si>
  <si>
    <r>
      <t>G</t>
    </r>
    <r>
      <rPr>
        <vertAlign val="subscript"/>
        <sz val="11"/>
        <rFont val="Times New Roman"/>
        <family val="1"/>
      </rPr>
      <t>DP2</t>
    </r>
    <r>
      <rPr>
        <sz val="11"/>
        <rFont val="Times New Roman"/>
        <family val="1"/>
      </rPr>
      <t xml:space="preserve"> = ∑</t>
    </r>
    <r>
      <rPr>
        <vertAlign val="superscript"/>
        <sz val="11"/>
        <rFont val="Times New Roman"/>
        <family val="1"/>
      </rPr>
      <t>T</t>
    </r>
    <r>
      <rPr>
        <vertAlign val="subscript"/>
        <sz val="11"/>
        <color theme="1"/>
        <rFont val="Times New Roman"/>
        <family val="1"/>
      </rPr>
      <t>t=1</t>
    </r>
    <r>
      <rPr>
        <sz val="11"/>
        <color theme="1"/>
        <rFont val="Times New Roman"/>
        <family val="1"/>
      </rPr>
      <t>(G</t>
    </r>
    <r>
      <rPr>
        <vertAlign val="superscript"/>
        <sz val="11"/>
        <color theme="1"/>
        <rFont val="Times New Roman"/>
        <family val="1"/>
      </rPr>
      <t>T</t>
    </r>
    <r>
      <rPr>
        <vertAlign val="subscript"/>
        <sz val="11"/>
        <color theme="1"/>
        <rFont val="Times New Roman"/>
        <family val="1"/>
      </rPr>
      <t>XDCTt</t>
    </r>
    <r>
      <rPr>
        <sz val="11"/>
        <color theme="1"/>
        <rFont val="Times New Roman"/>
        <family val="1"/>
      </rPr>
      <t xml:space="preserve"> x [(I</t>
    </r>
    <r>
      <rPr>
        <vertAlign val="subscript"/>
        <sz val="11"/>
        <color theme="1"/>
        <rFont val="Times New Roman"/>
        <family val="1"/>
      </rPr>
      <t xml:space="preserve">XDCTbq </t>
    </r>
    <r>
      <rPr>
        <sz val="11"/>
        <color theme="1"/>
        <rFont val="Times New Roman"/>
        <family val="1"/>
      </rPr>
      <t>± ∆I</t>
    </r>
    <r>
      <rPr>
        <vertAlign val="subscript"/>
        <sz val="11"/>
        <color theme="1"/>
        <rFont val="Times New Roman"/>
        <family val="1"/>
      </rPr>
      <t>XDCT</t>
    </r>
    <r>
      <rPr>
        <sz val="11"/>
        <color theme="1"/>
        <rFont val="Times New Roman"/>
        <family val="1"/>
      </rPr>
      <t xml:space="preserve"> )</t>
    </r>
    <r>
      <rPr>
        <vertAlign val="superscript"/>
        <sz val="11"/>
        <color theme="1"/>
        <rFont val="Times New Roman"/>
        <family val="1"/>
      </rPr>
      <t xml:space="preserve">t </t>
    </r>
    <r>
      <rPr>
        <sz val="11"/>
        <color theme="1"/>
        <rFont val="Times New Roman"/>
        <family val="1"/>
      </rPr>
      <t>- 1]</t>
    </r>
  </si>
  <si>
    <r>
      <t>G</t>
    </r>
    <r>
      <rPr>
        <vertAlign val="subscript"/>
        <sz val="11"/>
        <rFont val="Times New Roman"/>
        <family val="1"/>
      </rPr>
      <t>DP2</t>
    </r>
    <r>
      <rPr>
        <sz val="11"/>
        <rFont val="Times New Roman"/>
        <family val="1"/>
      </rPr>
      <t xml:space="preserve"> = ∑</t>
    </r>
    <r>
      <rPr>
        <vertAlign val="superscript"/>
        <sz val="11"/>
        <rFont val="Times New Roman"/>
        <family val="1"/>
      </rPr>
      <t>T</t>
    </r>
    <r>
      <rPr>
        <vertAlign val="subscript"/>
        <sz val="11"/>
        <color theme="1"/>
        <rFont val="Times New Roman"/>
        <family val="1"/>
      </rPr>
      <t>t=1</t>
    </r>
    <r>
      <rPr>
        <sz val="11"/>
        <color theme="1"/>
        <rFont val="Times New Roman"/>
        <family val="1"/>
      </rPr>
      <t>(G</t>
    </r>
    <r>
      <rPr>
        <vertAlign val="superscript"/>
        <sz val="11"/>
        <color theme="1"/>
        <rFont val="Times New Roman"/>
        <family val="1"/>
      </rPr>
      <t>T</t>
    </r>
    <r>
      <rPr>
        <vertAlign val="subscript"/>
        <sz val="11"/>
        <color theme="1"/>
        <rFont val="Times New Roman"/>
        <family val="1"/>
      </rPr>
      <t>TB</t>
    </r>
    <r>
      <rPr>
        <sz val="11"/>
        <color theme="1"/>
        <rFont val="Times New Roman"/>
        <family val="1"/>
      </rPr>
      <t xml:space="preserve"> x [(I</t>
    </r>
    <r>
      <rPr>
        <vertAlign val="subscript"/>
        <sz val="11"/>
        <color theme="1"/>
        <rFont val="Times New Roman"/>
        <family val="1"/>
      </rPr>
      <t xml:space="preserve">XDCTbq </t>
    </r>
    <r>
      <rPr>
        <sz val="11"/>
        <color theme="1"/>
        <rFont val="Times New Roman"/>
        <family val="1"/>
      </rPr>
      <t>± ∆I</t>
    </r>
    <r>
      <rPr>
        <vertAlign val="subscript"/>
        <sz val="11"/>
        <color theme="1"/>
        <rFont val="Times New Roman"/>
        <family val="1"/>
      </rPr>
      <t>XDCT</t>
    </r>
    <r>
      <rPr>
        <sz val="11"/>
        <color theme="1"/>
        <rFont val="Times New Roman"/>
        <family val="1"/>
      </rPr>
      <t xml:space="preserve"> )</t>
    </r>
    <r>
      <rPr>
        <vertAlign val="superscript"/>
        <sz val="11"/>
        <color theme="1"/>
        <rFont val="Times New Roman"/>
        <family val="1"/>
      </rPr>
      <t xml:space="preserve">t </t>
    </r>
    <r>
      <rPr>
        <sz val="11"/>
        <color theme="1"/>
        <rFont val="Times New Roman"/>
        <family val="1"/>
      </rPr>
      <t>- 1]</t>
    </r>
  </si>
  <si>
    <r>
      <t>- G</t>
    </r>
    <r>
      <rPr>
        <vertAlign val="superscript"/>
        <sz val="14"/>
        <rFont val="Times New Roman"/>
        <family val="1"/>
      </rPr>
      <t>T</t>
    </r>
    <r>
      <rPr>
        <vertAlign val="subscript"/>
        <sz val="14"/>
        <rFont val="Times New Roman"/>
        <family val="1"/>
      </rPr>
      <t>XDCTt</t>
    </r>
    <r>
      <rPr>
        <sz val="14"/>
        <rFont val="Times New Roman"/>
        <family val="1"/>
      </rPr>
      <t>: giá trị dự toán xây dựng công trình trước chi phí dự phòng thực hiện trong khoảng thời gian thứ t</t>
    </r>
  </si>
  <si>
    <r>
      <t>Chi phí xây dựng của gói thầu thi công xây dựng (G</t>
    </r>
    <r>
      <rPr>
        <b/>
        <vertAlign val="superscript"/>
        <sz val="14"/>
        <rFont val="Times New Roman"/>
        <family val="1"/>
      </rPr>
      <t>T</t>
    </r>
    <r>
      <rPr>
        <b/>
        <vertAlign val="subscript"/>
        <sz val="14"/>
        <rFont val="Times New Roman"/>
        <family val="1"/>
      </rPr>
      <t>XDCTt)</t>
    </r>
  </si>
  <si>
    <r>
      <t>- G</t>
    </r>
    <r>
      <rPr>
        <vertAlign val="superscript"/>
        <sz val="14"/>
        <rFont val="Times New Roman"/>
        <family val="1"/>
      </rPr>
      <t>T</t>
    </r>
    <r>
      <rPr>
        <vertAlign val="subscript"/>
        <sz val="14"/>
        <rFont val="Times New Roman"/>
        <family val="1"/>
      </rPr>
      <t>TB</t>
    </r>
    <r>
      <rPr>
        <sz val="14"/>
        <rFont val="Times New Roman"/>
        <family val="1"/>
      </rPr>
      <t>: giá trị dự toán xây dựng công trình trước chi phí dự phòng thực hiện trong khoảng thời gian thứ t</t>
    </r>
  </si>
  <si>
    <t>XI</t>
  </si>
  <si>
    <t>Lái xe</t>
  </si>
  <si>
    <t>Chi phí thẩm tra, phê duyệt quyết toán</t>
  </si>
  <si>
    <t>Giá trị quyết toán/cần thuê kiểm toán của dự án, dự án thành phần, tiểu dự án, công trình, hạng mục công trình (tỷ đồng)</t>
  </si>
  <si>
    <t>THÀNH PHẦN CHI PHÍ</t>
  </si>
  <si>
    <t>Định mức chi phí một số công tác không xác định được khối lượng từ thiết kế (CKKL)</t>
  </si>
  <si>
    <t>Định mức chi phí xây dựng nhà tạm tại hiện trường để ở và điều hành thi công (CNT)</t>
  </si>
  <si>
    <r>
      <t>Thuế suất thuế giá trị gia tăng (T</t>
    </r>
    <r>
      <rPr>
        <vertAlign val="superscript"/>
        <sz val="12"/>
        <color rgb="FF0000FF"/>
        <rFont val="Times New Roman"/>
        <family val="1"/>
      </rPr>
      <t>GTGT-XD</t>
    </r>
    <r>
      <rPr>
        <sz val="12"/>
        <color rgb="FF0000FF"/>
        <rFont val="Times New Roman"/>
        <family val="1"/>
      </rPr>
      <t>)</t>
    </r>
  </si>
  <si>
    <t>ĐƠN GIÁ VẬT LIỆU</t>
  </si>
  <si>
    <t>ĐƠN GIÁ VẬT LIỆU PHỤ</t>
  </si>
  <si>
    <t>ĐƠN GIÁ MÁY</t>
  </si>
  <si>
    <t>[13']</t>
  </si>
  <si>
    <t>Bằng chữ:</t>
  </si>
  <si>
    <t>Nguyễn Lâm Tới</t>
  </si>
  <si>
    <t>I. CƠ SỞ LẬP DỰ TOÁN:</t>
  </si>
  <si>
    <t>II. GIÁ TRỊ DỰ TOÁN</t>
  </si>
  <si>
    <t xml:space="preserve">1. </t>
  </si>
  <si>
    <t>Thông tin về công trình/hạng mục công trình thẩm tra</t>
  </si>
  <si>
    <t xml:space="preserve">- Cấp quyết định đầu tư: </t>
  </si>
  <si>
    <t xml:space="preserve">- Nguồn vốn đầu tư: </t>
  </si>
  <si>
    <t xml:space="preserve">- Thời gian thực hiện: </t>
  </si>
  <si>
    <t xml:space="preserve">- Thông tin về các đơn vị tư vấn lập thiết kế, lập dự toán công trình; thẩm tra thiết kế xây dựng công trình (nếu có): </t>
  </si>
  <si>
    <t>II.</t>
  </si>
  <si>
    <t>Văn bản quy phạm pháp luật sử dụng để thẩm tra</t>
  </si>
  <si>
    <t>- Nghị định số 15/2021/NĐ-CP ngày 03 tháng 03 năm 2021 của Chính phủ quy định chi tiết một số nội dung về quản lý dự án đầu tư xây dựng;</t>
  </si>
  <si>
    <t>- Nghị định số 10/2021/NĐ-CP ngày 09 tháng 02 năm 2021 của Chính phủ về quản lý chi phí đầu tư xây dựng;</t>
  </si>
  <si>
    <t xml:space="preserve"> - Các cơ sở pháp lý xác định các yếu tố đầu vào sử dụng để thẩm tra dự toán xây dựng.</t>
  </si>
  <si>
    <t xml:space="preserve"> - Các văn bản quy phạm pháp luật có liên quan khác (như pháp luật về phí, lệ phí,....);</t>
  </si>
  <si>
    <t>Hồ sơ, tài liệu của công trình / dự án</t>
  </si>
  <si>
    <t xml:space="preserve"> - Hồ sơ dự án đã phê duyệt (Quyết định phê duyệt dự án, báo cáo nghiên cứu khả thi của Dự án, các tài liệu pháp lý của dự án);</t>
  </si>
  <si>
    <t xml:space="preserve"> - Kết quả thẩm tra thiết kế (nếu có);</t>
  </si>
  <si>
    <t xml:space="preserve"> - Hồ sơ tài liệu xác định chi phí của các công việc đã thực hiện (Các hợp đồng đã thực hiện, quyết định phê duyệt dự toán, kế hoạch lựa chọn nhà thầu,...).</t>
  </si>
  <si>
    <t>III.</t>
  </si>
  <si>
    <t>IV.</t>
  </si>
  <si>
    <t>- Nhận xét về thành phần hồ sơ, sự đầy đủ, rõ ràng của các hồ sơ đề nghị thẩm tra;</t>
  </si>
  <si>
    <t>- Nhận xét về tính hợp lệ của hồ sơ đề nghị thẩm tra, bao gồm: trình tự xác lập các hồ sơ, năng lực đơn vị tư vấn;</t>
  </si>
  <si>
    <t>- Nhận xét về việc sử dụng các căn cứ pháp lý làm cơ sở xác định dự toán xây dựng công trình.</t>
  </si>
  <si>
    <t>- Pháp luật về xây dựng (Luật Xây dựng, Nghị định về quản lý dự án đầu tư xây dựng; Nghị định về quản lý chi phí đầu tư xây dựng; Các Thông tư hướng dẫn Nghị định);</t>
  </si>
  <si>
    <t>- Luật Xây dựng ngày 18 tháng 6 năm 2014; Luật Sửa đổi, bổ sung một số điều của Luật Xây dựng ngày 17 tháng 6 năm 2020</t>
  </si>
  <si>
    <t>- Luật Đầu tư công ngày 13 tháng 6 năm 2020;</t>
  </si>
  <si>
    <t>- Thông tư số 11/2021/TT-BXD ngày 31 tháng 8 năm 2021 của Bộ Xây dựng hướng dẫn một số nội dung xác định và quản lý chi phí đầu tư xây dựng;</t>
  </si>
  <si>
    <t>- Thông tư số 12/2021/TT-BXD ngày 31 tháng 8 năm 2021 của Bộ Xây dựng Ban hành định mức xây dựng;</t>
  </si>
  <si>
    <t>- Thông tư số 13/2021/TT-BXD ngày 31 tháng 8 năm 2021 của Bộ Xây dựng Hướng dẫn phương pháp xác định các chỉ tiêu kinh tế kỹ thuật và đo bóc khối lượng công trình;</t>
  </si>
  <si>
    <t>- Pháp luật về đầu tư công (đối với các dự án sử dụng vốn đầu tư công);</t>
  </si>
  <si>
    <t>- Pháp luật về PPP (đối với các dự án đầu tư theo phương thức đối tác công tư);</t>
  </si>
  <si>
    <t>- Phạm vi thẩm tra, các nội dung không thực hiện thẩm tra (nếu có), lý do,..</t>
  </si>
  <si>
    <t>- Về phương pháp xác định dự toán xây dựng công trình;</t>
  </si>
  <si>
    <t>- Về cơ cấu, nội dung các khoản mục chi phí trong dự toán xây dựng công trình;</t>
  </si>
  <si>
    <t>- Cơ sở xác định khối lượng, định mức, đơn giá trong dự toán xây dựng công trình;</t>
  </si>
  <si>
    <t>- Cơ sở xác định các khoản mục chi phí trong dự toán xây dựng công trình;</t>
  </si>
  <si>
    <t>- …</t>
  </si>
  <si>
    <t>V.</t>
  </si>
  <si>
    <t>Độc lập - tự do - hạnh phúc</t>
  </si>
  <si>
    <r>
      <t xml:space="preserve">  </t>
    </r>
    <r>
      <rPr>
        <i/>
        <sz val="12"/>
        <color indexed="8"/>
        <rFont val="Times New Roman"/>
        <family val="1"/>
      </rPr>
      <t>..., ngày ... tháng ... năm 202..</t>
    </r>
  </si>
  <si>
    <t xml:space="preserve">- Giá trị dự toán đề nghị thẩm tra: </t>
  </si>
  <si>
    <t>- Sự tuân thủ trong việc áp dụng, tham khảo hệ thống định mức xây dựng, giá xây dựng, chỉ số giá xây dựng do cơ quan nhà nước có thẩm quyền công bố;</t>
  </si>
  <si>
    <t>- Sự phù hợp của giá các yếu tố đầu vào, đơn giá sử dụng xác định dự toán, mặt bằng giá thị trường và các công cụ cần thiết khác để xác định dự toán xây dựng.</t>
  </si>
  <si>
    <t>Kết quả thẩm tra:</t>
  </si>
  <si>
    <t>Đánh giá sự tuân thủ quy định của pháp luật khi xác định các thành phần chi phí của dự toán xây dựng:</t>
  </si>
  <si>
    <t>1.1.</t>
  </si>
  <si>
    <t>1.2.</t>
  </si>
  <si>
    <t>1.3.</t>
  </si>
  <si>
    <t>Đánh giá về sự phù hợp của các căn cứ pháp lý để xác định dự toán xây dựng công trình.</t>
  </si>
  <si>
    <t>Đánh giá về sự phù hợp của nội dung dự toán xây dựng công trình so với nội dung tổng mức đầu tư dự án được duyệt và đặc điểm, tính chất, yêu cầu của công trình.</t>
  </si>
  <si>
    <t>Đánh giá về sự phù hợp của phương pháp xác định dự toán xây dựng công trình với quy định.</t>
  </si>
  <si>
    <t>1.4.</t>
  </si>
  <si>
    <t>Đánh giá về cơ sở xác định các thành phần chi phí</t>
  </si>
  <si>
    <t>Sự phù hợp, đầy đủ của khối lượng công tác xây dựng, chủng loại và số lượng thiết bị tính toán trong dự toán xây dựng công trình.</t>
  </si>
  <si>
    <t>a)</t>
  </si>
  <si>
    <t>b)</t>
  </si>
  <si>
    <t>Cơ sở xác định đơn giá xây dựng, đơn giá thiết bị, bao gồm:</t>
  </si>
  <si>
    <t>c)</t>
  </si>
  <si>
    <t>Cơ sở xác định các chi phí thuộc chi phí quản lý dự án, chi phí tư vấn, chi phí khác, dự phòng phí theo quy định.</t>
  </si>
  <si>
    <t>1.5.</t>
  </si>
  <si>
    <t>Trường hợp có định mức dự toán mới, định mức dự toán điều chỉnh: sự phù hợp của danh mục, phương pháp xác định, trị số hao phí định mức.</t>
  </si>
  <si>
    <t>2.1.</t>
  </si>
  <si>
    <t>Tiếng Anh</t>
  </si>
  <si>
    <t>Tiếng Việt</t>
  </si>
  <si>
    <t>Construction information management is the process of coordinating and analyzing data as it relates to construction projects.</t>
  </si>
  <si>
    <t>HỒ SƠ DỰ TOÁN XÂY DỰNG</t>
  </si>
  <si>
    <r>
      <rPr>
        <sz val="12"/>
        <color theme="1"/>
        <rFont val="Calibri"/>
        <family val="2"/>
      </rPr>
      <t>≥</t>
    </r>
    <r>
      <rPr>
        <sz val="12"/>
        <color theme="1"/>
        <rFont val="Times New Roman"/>
        <family val="1"/>
      </rPr>
      <t>8000</t>
    </r>
  </si>
  <si>
    <t>≥8000</t>
  </si>
  <si>
    <t>Phí thẩm định thiết kế xây dựng triển khai sau thiết kế cơ sở</t>
  </si>
  <si>
    <t>Chi phí xây dựng (chưa có thuế GTGT) trong dự toán công trình đề nghị thẩm định (tỷ đồng)</t>
  </si>
  <si>
    <t>(theo Thông tư số 28/2023/TT-BTC ngày 12/05/2023 của Bộ Tài chính)</t>
  </si>
  <si>
    <t>Biểu mức thu phí thẩm định thiết kế xây dựng triển khai sau thiết kế cơ sở, phí thẩm định dự toán xây dựng</t>
  </si>
  <si>
    <t>Giá trị trong TMĐT được duyệt</t>
  </si>
  <si>
    <t>Giá trị trong dự toán đề nghị 
thẩm tra</t>
  </si>
  <si>
    <t>(Phân tích, đánh giá nguyên nhân tăng, giảm của các khoản mục chi phí so với giá trị dự toán xây dựng công trình đề nghị thẩm tra).</t>
  </si>
  <si>
    <t xml:space="preserve">     (Ký, họ tên)</t>
  </si>
  <si>
    <t>ĐƠN VỊ THẨM ĐỊNH</t>
  </si>
  <si>
    <t>- Thông tin về các đơn vị tư vấn lập thiết kế, lập dự toán công trình; thẩm tra thiết kế, thẩm tra dự toán công trình.</t>
  </si>
  <si>
    <t>Văn bản quy phạm pháp luật sử dụng để thẩm định</t>
  </si>
  <si>
    <t>Hồ sơ, tài liệu liên quan để xác định dự toán xây dựng</t>
  </si>
  <si>
    <t xml:space="preserve"> - Hồ sơ tài liệu xác định giá trị chi phí của các công việc đã thực hiện (Các hợp đồng đã thực hiện, quyết định phê duyệt dự toán, kế hoạch lựa chọn nhà thầu,...);</t>
  </si>
  <si>
    <t>- Báo cáo kết quả thẩm tra dự toán (nếu có), hồ sơ dự toán trình thẩm định;</t>
  </si>
  <si>
    <t>- Thông báo ý kiến thẩm định dự toán của cơ quan chuyên môn về xây dựng và hồ sơ dự toán hoàn thiện theo ý kiến thẩm định của cơ quan chuyên môn về xây dựng;</t>
  </si>
  <si>
    <t>- Ý kiến giải trình của các đơn vị tư vấn về các nội dung tiếp thu, nội dung không tiếp thu trong kết quả thẩm định của cơ quan chuyên môn về xây dựng;</t>
  </si>
  <si>
    <t>- Các cơ sở pháp lý xác định các yếu tố đầu vào sử dụng để xác định dự toán xây dựng trình thẩm định.</t>
  </si>
  <si>
    <t>Đánh giá về hồ sơ dự toán xây dựng công trình/gói thầu</t>
  </si>
  <si>
    <t>- Đánh giá, nhận xét về thành phần hồ sơ, sự đầy đủ, rõ ràng của các hồ sơ dự toán xây dựng công trình/gói thầu;F52</t>
  </si>
  <si>
    <t>- Đánh giá hồ sơ dự toán xây dựng công trình/gói thầu với phạm vi công việc phải thực hiện của các đơn vị tư vấn;</t>
  </si>
  <si>
    <t>(Các đánh giá, nhận xét trên được thực hiện với tất cả các hồ sơ có liên quan đến dự toán xây dựng công trình/gói thầu được thẩm định, bao gồm cả các hồ sơ tư vấn đã hoàn thiện theo yêu cầu của cơ quan chuyên môn về xây dựng, các hồ sơ liên quan đến các chi phí không thuộc phạm vi thẩm định của cơ quan chuyên môn về xây dựng).</t>
  </si>
  <si>
    <t>Xem xét, quyết định các nội dung liên quan đến kết quả thẩm định của cơ quan chuyên môn về xây dựng</t>
  </si>
  <si>
    <t>Xem xét các nội dung đồng thuận của đơn vị tư vấn với ý kiến thẩm định của cơ quan chuyên môn về xây dựng.</t>
  </si>
  <si>
    <t>Xem xét, quyết định các nội dung còn có ý kiến khác nhau giữa các đơn vị tư vấn (tư vấn lập dự toán, thẩm tra dự toán) với cơ quan chuyên môn về xây dựng.</t>
  </si>
  <si>
    <t>2.2.</t>
  </si>
  <si>
    <t>Ý kiến thẩm định của Chủ đầu tư đối với các nội dung không thuộc phạm vi thẩm định của cơ quan chuyên môn về xây dựng</t>
  </si>
  <si>
    <t>Chủ đầu tư thực hiện thẩm định với các nội dung thẩm định tương tự như của cơ quan chuyên môn về xây dựng.</t>
  </si>
  <si>
    <t>Xác định giá trị dự toán xây dựng sau thẩm định</t>
  </si>
  <si>
    <t>Trên cơ sở các ý kiến thẩm định ở trên, giá trị dự toán xây dựng công trình/gói thầu…(tên công trình/gói thầu được thẩm định) thuộc dự án…(tên dự án) như sau:</t>
  </si>
  <si>
    <t>Đơn vị tính: …</t>
  </si>
  <si>
    <t>Ghi chú: Tùy theo từng loại dự toán xây dựng (dự toán xây dựng công trình, dự toán gói thầu), nội dung chi phí trong bảng trên có thể gồm một số hoặc toàn bộ các khoản mục chi phí.</t>
  </si>
  <si>
    <t>(Nêu và phân tích nguyên nhân tăng, giảm đối với những nội dung chi phí tăng, giảm chủ yếu)</t>
  </si>
  <si>
    <t>Nơi nhận:</t>
  </si>
  <si>
    <t>5. Nguyên nhân tăng, giảm</t>
  </si>
  <si>
    <t>6. Kết luận và kiến nghị</t>
  </si>
  <si>
    <t>ĐƠN VỊ THẨM TRA</t>
  </si>
  <si>
    <t>Chi phí tư vấn ĐTXD</t>
  </si>
  <si>
    <t>Tăng, giảm (+/-)</t>
  </si>
  <si>
    <t xml:space="preserve">   - Lưu.</t>
  </si>
  <si>
    <t xml:space="preserve">   - Như trên;</t>
  </si>
  <si>
    <t>Thông tin về công trình/hạng mục công trình thẩm định</t>
  </si>
  <si>
    <t xml:space="preserve"> - Kết quả thẩm định thiết kế kèm theo hồ sơ thiết kế đã được thẩm định;</t>
  </si>
  <si>
    <t>Giá trị dự toán thẩm tra</t>
  </si>
  <si>
    <t>Giá trị dự toán sau thẩm định</t>
  </si>
  <si>
    <t>Giá trị trong dự toán trình 
thẩm định/thẩm tra</t>
  </si>
  <si>
    <t>Đánh giá</t>
  </si>
  <si>
    <t xml:space="preserve">    ĐƠN VỊ THẨM TRA</t>
  </si>
  <si>
    <t>Giá trị quyết toán/cần thuê kiểm toán</t>
  </si>
  <si>
    <t>CPC TÍNH THEO</t>
  </si>
  <si>
    <t>CP trực tiếp (T)</t>
  </si>
  <si>
    <t>CP nhân công (NC)</t>
  </si>
  <si>
    <t>Chi phí NC trong chi phí T của dự toán XD của công trình (tỷ đồng)</t>
  </si>
  <si>
    <t>Chi phí NC trong chi phí T của dự toán LĐ của công trình (tỷ đồng)</t>
  </si>
  <si>
    <t>Data!$F$10:$F$11</t>
  </si>
  <si>
    <t>Data!$L$10:$L$11</t>
  </si>
  <si>
    <t>ĐƠN VỊ THEO ĐỊNH MỨC CÔNG VIỆC</t>
  </si>
  <si>
    <t>ĐƠN VỊ THEO ĐM VẬN CHUYỂN Ô TÔ</t>
  </si>
  <si>
    <t>ĐƠN VỊ THEO ĐM VẬN CHUYỂN THỦ CÔNG</t>
  </si>
  <si>
    <t>NHÓM VẬT LIỆU VẬN CHUYỂN BẰNG Ô TÔ</t>
  </si>
  <si>
    <t>NHÓM VẬT LIỆU VẬN CHUYỂN THỦ CÔNG</t>
  </si>
  <si>
    <t>Mua sắm thiết bị trong nước</t>
  </si>
  <si>
    <t>Mua sắm thiết bị ngoại nhập</t>
  </si>
  <si>
    <t>1.1</t>
  </si>
  <si>
    <t>1.2</t>
  </si>
  <si>
    <t>Thí nghiệm hiệu chỉnh</t>
  </si>
  <si>
    <t>Chi phí phê duyệt mẫu và kiểm định lần đầu</t>
  </si>
  <si>
    <t>Chi phí kiểm định an toàn thiết bị</t>
  </si>
  <si>
    <t>Chi phí nghiệm thu tĩnh</t>
  </si>
  <si>
    <t>6.3</t>
  </si>
  <si>
    <t>6.4</t>
  </si>
  <si>
    <t>TÊN VÀ QUY CÁCH THIẾT BỊ, VẬT TƯ</t>
  </si>
  <si>
    <t>TÊN CÔNG VIỆC</t>
  </si>
  <si>
    <t>ĐƠN GIÁ DỰ THẦU</t>
  </si>
  <si>
    <t>CHÊNH LỆCH ĐG (đồng)</t>
  </si>
  <si>
    <t>CHÊNH LỆCH ĐG (%)</t>
  </si>
  <si>
    <t>GIÁ CHÀO THẦU</t>
  </si>
  <si>
    <t>CHÊNH LỆCH THÀNH TIỀN</t>
  </si>
  <si>
    <t>[9]=[8]-[6]</t>
  </si>
  <si>
    <t>[10]=[9]*100%/[6]</t>
  </si>
  <si>
    <t>[12]=[11]-[7]</t>
  </si>
  <si>
    <t>BẢNG XÉT THẦU THI CÔNG XÂY DỰNG</t>
  </si>
  <si>
    <t>NHÀ THẦU XD A</t>
  </si>
  <si>
    <t>NHÀ THẦU LD A</t>
  </si>
  <si>
    <t>THUẾ NHẬP KHẨU</t>
  </si>
  <si>
    <t>TỔNG MỨC ĐẦU TƯ:</t>
  </si>
  <si>
    <t>TỔNG MỨC ĐẦU TƯ DỰ ÁN XÂY DỰNG</t>
  </si>
  <si>
    <t>SAU THUẾ</t>
  </si>
  <si>
    <t>TRƯỚC THUẾ</t>
  </si>
  <si>
    <t>GHI CHÚ, CĂN CỨ, CƠ SỞ</t>
  </si>
  <si>
    <t>THÀNH TIỀN (đ)</t>
  </si>
  <si>
    <r>
      <t>HỆ SỐ QUY MÔ (K</t>
    </r>
    <r>
      <rPr>
        <b/>
        <vertAlign val="subscript"/>
        <sz val="12"/>
        <rFont val="Times New Roman"/>
        <family val="1"/>
      </rPr>
      <t>dv</t>
    </r>
    <r>
      <rPr>
        <b/>
        <sz val="12"/>
        <rFont val="Times New Roman"/>
        <family val="1"/>
      </rPr>
      <t>)</t>
    </r>
  </si>
  <si>
    <r>
      <t>HỆ SỐ VÙNG (K</t>
    </r>
    <r>
      <rPr>
        <b/>
        <vertAlign val="subscript"/>
        <sz val="12"/>
        <rFont val="Times New Roman"/>
        <family val="1"/>
      </rPr>
      <t>kv</t>
    </r>
    <r>
      <rPr>
        <b/>
        <sz val="12"/>
        <rFont val="Times New Roman"/>
        <family val="1"/>
      </rPr>
      <t>)</t>
    </r>
  </si>
  <si>
    <r>
      <t>CHỈ SỐ GIÁ (K</t>
    </r>
    <r>
      <rPr>
        <b/>
        <vertAlign val="subscript"/>
        <sz val="12"/>
        <rFont val="Times New Roman"/>
        <family val="1"/>
      </rPr>
      <t>tg</t>
    </r>
    <r>
      <rPr>
        <b/>
        <sz val="12"/>
        <rFont val="Times New Roman"/>
        <family val="1"/>
      </rPr>
      <t>)</t>
    </r>
  </si>
  <si>
    <t>GIÁ TỔNG HỢP (S0)</t>
  </si>
  <si>
    <t>BỘ PHẬN KẾT CẤU CÔNG TRÌNH</t>
  </si>
  <si>
    <t>CHI PHÍ XÂY DỰNG XÁC ĐỊNH THEO GIÁ TỔNG HỢP BỘ PHẬN KẾT CẤU</t>
  </si>
  <si>
    <t>Chứng chỉ hành nghề định giá XD hạng ..., số …</t>
  </si>
  <si>
    <t>Điều 5 Nghị định số 10/2021/NĐ-CP</t>
  </si>
  <si>
    <t>Phụ lục I Thông tư số 11/2021/TT-BXD</t>
  </si>
  <si>
    <t>Dự phòng cho yếu tố trượt giá</t>
  </si>
  <si>
    <t>Dự phòng cho khối lượng, công việc phát sinh</t>
  </si>
  <si>
    <t>Điểm g Khoản 2 Điều 5 Nghị định số 10/2021/NĐ-CP</t>
  </si>
  <si>
    <t>Chi phí lãi vay trong thời gian xây dựng</t>
  </si>
  <si>
    <t>Điều 3 Thông tư số 10/2021/TT-BXD</t>
  </si>
  <si>
    <t>Lập dự toán</t>
  </si>
  <si>
    <t>Chi phí quan trắc biến dạng công trình</t>
  </si>
  <si>
    <t>Nt*TMĐT</t>
  </si>
  <si>
    <t>Chi phí bảo hiểm công trình trong thời gian xây dựng</t>
  </si>
  <si>
    <t>Chi phí thẩm tra phê duyệt, quyết toán vốn</t>
  </si>
  <si>
    <t xml:space="preserve">Chi phí khác không bao gồm phí </t>
  </si>
  <si>
    <t>Thông tư số 258/2016/TT-BTC</t>
  </si>
  <si>
    <t>Phí thẩm duyệt thiết kế PCCC</t>
  </si>
  <si>
    <t>Thông tư số 27/2023/TT-BTC</t>
  </si>
  <si>
    <t xml:space="preserve">Thông tư số 28/2023/TT-BTC </t>
  </si>
  <si>
    <t>Phí thẩm định dự án đầu tư xây dựng</t>
  </si>
  <si>
    <t>Chi phí khác - phí</t>
  </si>
  <si>
    <t>PB</t>
  </si>
  <si>
    <t>Điểm e Khoản 2 Điều 5 Nghị định số 10/2021/NĐ-CP</t>
  </si>
  <si>
    <t>Bảng 2.24 Phụ lục 8 Thông tư số 12/2021/TT-BXD</t>
  </si>
  <si>
    <t>Chi phí quy đổi vốn đầu tư xây dựng</t>
  </si>
  <si>
    <t>Bảng 2.21 Phụ lục 8 Thông tư số 12/2021/TT-BXD</t>
  </si>
  <si>
    <t>Chi phí giám sát thi công xây dựng</t>
  </si>
  <si>
    <t>Bảng 2.19 Phụ lục 8 Thông tư số 12/2021/TT-BXD</t>
  </si>
  <si>
    <t>Chi phí lập HSMT, đánh giá HSDT thi công xây dựng</t>
  </si>
  <si>
    <t>Bảng 2.17 Phụ lục 8 Thông tư số 12/2021/TT-BXD</t>
  </si>
  <si>
    <t>Chi phí thẩm tra dự toán</t>
  </si>
  <si>
    <t>Bảng 2.16 Phụ lục 8 Thông tư số 12/2021/TT-BXD</t>
  </si>
  <si>
    <t>Chi phí thẩm tra thiết kế</t>
  </si>
  <si>
    <t>Mục 3 Chương II Phụ lục 8 Thông tư số 12/2021/TT-BXD:  Hướng dẫn áp dụng định mức chi phí thiết kế xây dựng</t>
  </si>
  <si>
    <t>Bảng 2.15 Phụ lục 8 Thông tư số 12/2021/TT-BXD</t>
  </si>
  <si>
    <t>Bảng 2.2 Phụ lục 8 Thông tư số 12/2021/TT-BXD</t>
  </si>
  <si>
    <t>Bảng 2.14 Phụ lục 8 Thông tư số 12/2021/TT-BXD</t>
  </si>
  <si>
    <t>Bảng 2.1 Phụ lục 8 Thông tư số 12/2021/TT-BXD</t>
  </si>
  <si>
    <t>Điểm đ Khoản 2 Điều 5 Nghị định số 10/2021/NĐ-CP</t>
  </si>
  <si>
    <t>Điều 6 Thông tư số 12/2021/TT-BXD</t>
  </si>
  <si>
    <t>Nt*(GXDtt+GTBtt)*0,7</t>
  </si>
  <si>
    <t>Chi phí quản lý dự án của nhà đầu tư</t>
  </si>
  <si>
    <t>Bảng 1.2 Thông tư số 12/2021/TT-BXD</t>
  </si>
  <si>
    <t>Chi phí hoạt động của đơn vị quản lý dự án thuộc Cơ quan nhà nước có thẩm quyền</t>
  </si>
  <si>
    <t>Chi phí quản lý dự án của Cơ quan nhà nước có thẩm quyền</t>
  </si>
  <si>
    <t>Bảng 1.1 Phụ lục VIII Thông tư số 12/2021/TT-BXD</t>
  </si>
  <si>
    <r>
      <t xml:space="preserve"> G</t>
    </r>
    <r>
      <rPr>
        <b/>
        <vertAlign val="subscript"/>
        <sz val="12"/>
        <rFont val="Times New Roman"/>
        <family val="1"/>
      </rPr>
      <t>TB9</t>
    </r>
  </si>
  <si>
    <r>
      <t xml:space="preserve"> G</t>
    </r>
    <r>
      <rPr>
        <b/>
        <vertAlign val="subscript"/>
        <sz val="12"/>
        <rFont val="Times New Roman"/>
        <family val="1"/>
      </rPr>
      <t>TB8</t>
    </r>
  </si>
  <si>
    <r>
      <t xml:space="preserve"> G</t>
    </r>
    <r>
      <rPr>
        <b/>
        <vertAlign val="subscript"/>
        <sz val="12"/>
        <rFont val="Times New Roman"/>
        <family val="1"/>
      </rPr>
      <t>TB7</t>
    </r>
  </si>
  <si>
    <r>
      <t xml:space="preserve"> G</t>
    </r>
    <r>
      <rPr>
        <b/>
        <vertAlign val="subscript"/>
        <sz val="12"/>
        <rFont val="Times New Roman"/>
        <family val="1"/>
      </rPr>
      <t>TB6</t>
    </r>
    <r>
      <rPr>
        <sz val="11"/>
        <color theme="1"/>
        <rFont val="Calibri"/>
        <family val="2"/>
        <scheme val="minor"/>
      </rPr>
      <t/>
    </r>
  </si>
  <si>
    <r>
      <t xml:space="preserve"> G</t>
    </r>
    <r>
      <rPr>
        <b/>
        <vertAlign val="subscript"/>
        <sz val="12"/>
        <rFont val="Times New Roman"/>
        <family val="1"/>
      </rPr>
      <t>TB5</t>
    </r>
    <r>
      <rPr>
        <sz val="11"/>
        <color theme="1"/>
        <rFont val="Calibri"/>
        <family val="2"/>
        <scheme val="minor"/>
      </rPr>
      <t/>
    </r>
  </si>
  <si>
    <r>
      <t xml:space="preserve"> G</t>
    </r>
    <r>
      <rPr>
        <b/>
        <vertAlign val="subscript"/>
        <sz val="12"/>
        <rFont val="Times New Roman"/>
        <family val="1"/>
      </rPr>
      <t>TB4</t>
    </r>
    <r>
      <rPr>
        <sz val="11"/>
        <color theme="1"/>
        <rFont val="Calibri"/>
        <family val="2"/>
        <scheme val="minor"/>
      </rPr>
      <t/>
    </r>
  </si>
  <si>
    <r>
      <t xml:space="preserve"> G</t>
    </r>
    <r>
      <rPr>
        <b/>
        <vertAlign val="subscript"/>
        <sz val="12"/>
        <rFont val="Times New Roman"/>
        <family val="1"/>
      </rPr>
      <t>TB3</t>
    </r>
    <r>
      <rPr>
        <sz val="11"/>
        <color theme="1"/>
        <rFont val="Calibri"/>
        <family val="2"/>
        <scheme val="minor"/>
      </rPr>
      <t/>
    </r>
  </si>
  <si>
    <r>
      <t xml:space="preserve"> G</t>
    </r>
    <r>
      <rPr>
        <b/>
        <vertAlign val="subscript"/>
        <sz val="12"/>
        <rFont val="Times New Roman"/>
        <family val="1"/>
      </rPr>
      <t>TB2</t>
    </r>
    <r>
      <rPr>
        <sz val="11"/>
        <color theme="1"/>
        <rFont val="Calibri"/>
        <family val="2"/>
        <scheme val="minor"/>
      </rPr>
      <t/>
    </r>
  </si>
  <si>
    <r>
      <t xml:space="preserve"> G</t>
    </r>
    <r>
      <rPr>
        <b/>
        <vertAlign val="subscript"/>
        <sz val="12"/>
        <rFont val="Times New Roman"/>
        <family val="1"/>
      </rPr>
      <t>TB1</t>
    </r>
  </si>
  <si>
    <t>Chi phí thiết bị tính theo chi tiết</t>
  </si>
  <si>
    <t>Suất vốn đầu tư</t>
  </si>
  <si>
    <t>Chi phí thiết bị tính theo suất vốn đầu tư</t>
  </si>
  <si>
    <t>Điểm c Khoản 2 Điều 5 Nghị định số 10/2021/NĐ-CP</t>
  </si>
  <si>
    <t>Chi phí phá dỡ các công trình xây dựng không thuộc phạm vi của công tác phá dỡ giải phóng mặt bằng đã được xác định trong chi phí bồi thường, hỗ trợ và tái định cư</t>
  </si>
  <si>
    <t>Công trình, hạng mục công trình xây dựng tạm, phụ trợ phục vụ thi công</t>
  </si>
  <si>
    <t>Chi phí xây dựng các công trình, hạng mục công trình xây dựng của dự án</t>
  </si>
  <si>
    <t>Điểm b Khoản 2 Điều 5 Nghị định số 10/2021/NĐ-CP</t>
  </si>
  <si>
    <t>Điểm a Khoản 2 Điều 5 Nghị định số 10/2021/NĐ-CP</t>
  </si>
  <si>
    <t>SUẤT VỐN ĐẦU TƯ, ĐƠN GIÁ</t>
  </si>
  <si>
    <t>Tổng vốn đầu tư:</t>
  </si>
  <si>
    <t>Giá gói thầu khảo sát:</t>
  </si>
  <si>
    <t>Chi phí thiết bị trong TMĐT:</t>
  </si>
  <si>
    <t>Chi phí xây dựng trong TMĐT:</t>
  </si>
  <si>
    <t>BẢNG TỔNG HỢP TỔNG MỨC ĐẦU TƯ XÂY DỰNG</t>
  </si>
  <si>
    <t>Giá trị gói thầu tư vấn:</t>
  </si>
  <si>
    <t>Giá trị gói thầu thiết bị:</t>
  </si>
  <si>
    <t>Giá trị gói thầu thi công:</t>
  </si>
  <si>
    <t>Tổng mức đầu tư sau loại trừ:</t>
  </si>
  <si>
    <t>Tổng mức đầu tư sau thuế:</t>
  </si>
  <si>
    <t>Tổng mức đầu tư trước thuế:</t>
  </si>
  <si>
    <t>Copy - Paste Value các giá trị dưới đây để tránh vòng lặp</t>
  </si>
  <si>
    <r>
      <t>V</t>
    </r>
    <r>
      <rPr>
        <b/>
        <vertAlign val="subscript"/>
        <sz val="12"/>
        <rFont val="Times New Roman"/>
        <family val="1"/>
      </rPr>
      <t>TM</t>
    </r>
  </si>
  <si>
    <t>TỔNG MỨC ĐẦU TƯ</t>
  </si>
  <si>
    <r>
      <t>G</t>
    </r>
    <r>
      <rPr>
        <vertAlign val="subscript"/>
        <sz val="13"/>
        <rFont val="Times New Roman"/>
        <family val="1"/>
      </rPr>
      <t>DP</t>
    </r>
  </si>
  <si>
    <r>
      <t>G</t>
    </r>
    <r>
      <rPr>
        <vertAlign val="subscript"/>
        <sz val="13"/>
        <rFont val="Times New Roman"/>
        <family val="1"/>
      </rPr>
      <t>K</t>
    </r>
  </si>
  <si>
    <r>
      <t>G</t>
    </r>
    <r>
      <rPr>
        <vertAlign val="subscript"/>
        <sz val="13"/>
        <rFont val="Times New Roman"/>
        <family val="1"/>
      </rPr>
      <t>TV</t>
    </r>
  </si>
  <si>
    <r>
      <t xml:space="preserve"> G</t>
    </r>
    <r>
      <rPr>
        <vertAlign val="subscript"/>
        <sz val="13"/>
        <rFont val="Times New Roman"/>
        <family val="1"/>
      </rPr>
      <t>QLDA</t>
    </r>
  </si>
  <si>
    <t>Chi phí quản lí dự án</t>
  </si>
  <si>
    <r>
      <t xml:space="preserve"> G</t>
    </r>
    <r>
      <rPr>
        <vertAlign val="subscript"/>
        <sz val="13"/>
        <rFont val="Times New Roman"/>
        <family val="1"/>
      </rPr>
      <t>TB</t>
    </r>
  </si>
  <si>
    <r>
      <t xml:space="preserve"> G</t>
    </r>
    <r>
      <rPr>
        <vertAlign val="subscript"/>
        <sz val="13"/>
        <rFont val="Times New Roman"/>
        <family val="1"/>
      </rPr>
      <t>XD</t>
    </r>
  </si>
  <si>
    <r>
      <t>G</t>
    </r>
    <r>
      <rPr>
        <vertAlign val="subscript"/>
        <sz val="13"/>
        <rFont val="Times New Roman"/>
        <family val="1"/>
      </rPr>
      <t>BT, TĐT</t>
    </r>
  </si>
  <si>
    <t>Chi phí quyền sử dụng đất và chi phí đền bù, giải phóng mặt bằng, hỗ trợ tái định cư</t>
  </si>
  <si>
    <t xml:space="preserve">CHI PHÍ
SAU THUẾ </t>
  </si>
  <si>
    <t xml:space="preserve">CHI PHÍ 
TRƯỚC THUẾ </t>
  </si>
  <si>
    <t>CÁC TÍNH</t>
  </si>
  <si>
    <t>LOẠI CHI PHÍ</t>
  </si>
  <si>
    <t>ĐVT: 1000 đồng</t>
  </si>
  <si>
    <t>TỔNG MỨC ĐẦU TƯ XÂY DỰNG</t>
  </si>
  <si>
    <t>CHÍNH SÁCH HỖ TRỢ</t>
  </si>
  <si>
    <t>BỒI THƯỜNG CÂY TRỒNG VÀ VẬT NUÔI</t>
  </si>
  <si>
    <t>BỒI THƯỜNG TÀI SẢN</t>
  </si>
  <si>
    <t>BỒI THƯỜNG ĐẤT ĐAI</t>
  </si>
  <si>
    <t>[0]</t>
  </si>
  <si>
    <t xml:space="preserve"> THÀNH TIỀN </t>
  </si>
  <si>
    <t>TỶ LỆ %</t>
  </si>
  <si>
    <t xml:space="preserve"> ĐƠN GIÁ </t>
  </si>
  <si>
    <t>Diễn giải khối lượng</t>
  </si>
  <si>
    <t>LOẠI ĐẤT</t>
  </si>
  <si>
    <t>MÃ CV</t>
  </si>
  <si>
    <t xml:space="preserve">Địa chỉ: </t>
  </si>
  <si>
    <t>Biểu số:</t>
  </si>
  <si>
    <t>DỰ TOÁN BỒI THƯỜNG ĐẤT ĐAI, TÀI SẢN, CÂY TRỒNG</t>
  </si>
  <si>
    <t xml:space="preserve">Khu vực: </t>
  </si>
  <si>
    <t>CHI PHÍ KHÁC</t>
  </si>
  <si>
    <t>TỔNG BỒI THƯỜNG (I) + (II) + (III) + (IV) + (V)</t>
  </si>
  <si>
    <t>BẢNG CHI PHÍ DỰ PHÒNG TỔNG MỨC ĐẦU TƯ XÂY DỰNG</t>
  </si>
  <si>
    <t>6.</t>
  </si>
  <si>
    <r>
      <t>Chi phí bồi thường, hỗ trợ và tái định cư (G</t>
    </r>
    <r>
      <rPr>
        <vertAlign val="subscript"/>
        <sz val="14"/>
        <rFont val="Times New Roman"/>
        <family val="1"/>
      </rPr>
      <t>BT, TĐC</t>
    </r>
    <r>
      <rPr>
        <sz val="14"/>
        <rFont val="Times New Roman"/>
        <family val="1"/>
      </rPr>
      <t>):</t>
    </r>
  </si>
  <si>
    <r>
      <t xml:space="preserve"> Vốn đầu tư trước dự phòng (V</t>
    </r>
    <r>
      <rPr>
        <b/>
        <vertAlign val="subscript"/>
        <sz val="14"/>
        <rFont val="Times New Roman"/>
        <family val="1"/>
      </rPr>
      <t>t</t>
    </r>
    <r>
      <rPr>
        <b/>
        <sz val="14"/>
        <rFont val="Times New Roman"/>
        <family val="1"/>
      </rPr>
      <t>):</t>
    </r>
  </si>
  <si>
    <r>
      <t>Công thức xác định G</t>
    </r>
    <r>
      <rPr>
        <vertAlign val="subscript"/>
        <sz val="14"/>
        <rFont val="Times New Roman"/>
        <family val="1"/>
      </rPr>
      <t>DP1</t>
    </r>
    <r>
      <rPr>
        <sz val="14"/>
        <rFont val="Times New Roman"/>
        <family val="1"/>
      </rPr>
      <t>:</t>
    </r>
  </si>
  <si>
    <r>
      <t>G</t>
    </r>
    <r>
      <rPr>
        <vertAlign val="subscript"/>
        <sz val="14"/>
        <rFont val="Times New Roman"/>
        <family val="1"/>
      </rPr>
      <t>DP1</t>
    </r>
    <r>
      <rPr>
        <sz val="14"/>
        <rFont val="Times New Roman"/>
        <family val="1"/>
      </rPr>
      <t>= (G</t>
    </r>
    <r>
      <rPr>
        <vertAlign val="subscript"/>
        <sz val="14"/>
        <rFont val="Times New Roman"/>
        <family val="1"/>
      </rPr>
      <t>BT, TĐC</t>
    </r>
    <r>
      <rPr>
        <sz val="14"/>
        <rFont val="Times New Roman"/>
        <family val="1"/>
      </rPr>
      <t xml:space="preserve"> + G</t>
    </r>
    <r>
      <rPr>
        <vertAlign val="subscript"/>
        <sz val="14"/>
        <rFont val="Times New Roman"/>
        <family val="1"/>
      </rPr>
      <t>XD</t>
    </r>
    <r>
      <rPr>
        <sz val="14"/>
        <rFont val="Times New Roman"/>
        <family val="1"/>
      </rPr>
      <t xml:space="preserve"> + G</t>
    </r>
    <r>
      <rPr>
        <vertAlign val="subscript"/>
        <sz val="14"/>
        <rFont val="Times New Roman"/>
        <family val="1"/>
      </rPr>
      <t>TB</t>
    </r>
    <r>
      <rPr>
        <sz val="14"/>
        <rFont val="Times New Roman"/>
        <family val="1"/>
      </rPr>
      <t xml:space="preserve"> + G</t>
    </r>
    <r>
      <rPr>
        <vertAlign val="subscript"/>
        <sz val="14"/>
        <rFont val="Times New Roman"/>
        <family val="1"/>
      </rPr>
      <t>QLDA</t>
    </r>
    <r>
      <rPr>
        <sz val="14"/>
        <rFont val="Times New Roman"/>
        <family val="1"/>
      </rPr>
      <t xml:space="preserve"> + G</t>
    </r>
    <r>
      <rPr>
        <vertAlign val="subscript"/>
        <sz val="14"/>
        <rFont val="Times New Roman"/>
        <family val="1"/>
      </rPr>
      <t>TV</t>
    </r>
    <r>
      <rPr>
        <sz val="14"/>
        <rFont val="Times New Roman"/>
        <family val="1"/>
      </rPr>
      <t xml:space="preserve"> + G</t>
    </r>
    <r>
      <rPr>
        <vertAlign val="subscript"/>
        <sz val="14"/>
        <rFont val="Times New Roman"/>
        <family val="1"/>
      </rPr>
      <t>K</t>
    </r>
    <r>
      <rPr>
        <sz val="14"/>
        <rFont val="Times New Roman"/>
        <family val="1"/>
      </rPr>
      <t>) x k</t>
    </r>
    <r>
      <rPr>
        <vertAlign val="subscript"/>
        <sz val="14"/>
        <rFont val="Times New Roman"/>
        <family val="1"/>
      </rPr>
      <t>ps</t>
    </r>
  </si>
  <si>
    <t>Kps =</t>
  </si>
  <si>
    <r>
      <t>G</t>
    </r>
    <r>
      <rPr>
        <vertAlign val="subscript"/>
        <sz val="14"/>
        <rFont val="Times New Roman"/>
        <family val="1"/>
      </rPr>
      <t>DP1</t>
    </r>
    <r>
      <rPr>
        <sz val="14"/>
        <rFont val="Times New Roman"/>
        <family val="1"/>
      </rPr>
      <t xml:space="preserve"> =</t>
    </r>
  </si>
  <si>
    <r>
      <t>2- Dự phòng cho yếu tố trượt giá (G</t>
    </r>
    <r>
      <rPr>
        <b/>
        <vertAlign val="subscript"/>
        <sz val="14"/>
        <rFont val="Times New Roman"/>
        <family val="1"/>
      </rPr>
      <t>dp2</t>
    </r>
    <r>
      <rPr>
        <b/>
        <sz val="14"/>
        <rFont val="Times New Roman"/>
        <family val="1"/>
      </rPr>
      <t>)</t>
    </r>
  </si>
  <si>
    <r>
      <t>Lãi vay (L</t>
    </r>
    <r>
      <rPr>
        <vertAlign val="subscript"/>
        <sz val="14"/>
        <rFont val="Times New Roman"/>
        <family val="1"/>
      </rPr>
      <t>vayt</t>
    </r>
    <r>
      <rPr>
        <sz val="14"/>
        <rFont val="Times New Roman"/>
        <family val="1"/>
      </rPr>
      <t>)</t>
    </r>
  </si>
  <si>
    <t>Vốn đầu tư trước dự phòng theo kế hoạch thực hiện không bao gồm chi phí lãi vay (tỷ đồng)</t>
  </si>
  <si>
    <t>DỰ TOÁN</t>
  </si>
  <si>
    <t>TMDT</t>
  </si>
  <si>
    <t>[CF_SLCTTH]</t>
  </si>
  <si>
    <t xml:space="preserve">ĐỊA ĐIỂM: </t>
  </si>
  <si>
    <t xml:space="preserve">CHỦ ĐẦU TƯ: </t>
  </si>
  <si>
    <t xml:space="preserve">ĐƠN VỊ THIẾT KẾ: </t>
  </si>
  <si>
    <t xml:space="preserve">ĐƠN VỊ THẨM TRA: </t>
  </si>
  <si>
    <t xml:space="preserve">HĐ THẨM TRA SỐ: </t>
  </si>
  <si>
    <t xml:space="preserve">ĐƠN VỊ THẨM ĐỊNH: </t>
  </si>
  <si>
    <t>VẬT TƯ XÂY DỰNG TRONG NƯỚC</t>
  </si>
  <si>
    <t>1.3</t>
  </si>
  <si>
    <t>1.4</t>
  </si>
  <si>
    <t>Chi phí mua sắm vật tư lắp đặt ngoại nhập</t>
  </si>
  <si>
    <t>Chi phí mua sắm vật tư lắp đặt trong nước</t>
  </si>
  <si>
    <t>BẢNG DỰ TOÁN CHI PHÍ MUA SẮM VẬT TƯ, THIẾT BỊ NGOẠI NHẬP</t>
  </si>
  <si>
    <t>EUR</t>
  </si>
  <si>
    <t>USD</t>
  </si>
  <si>
    <t>VNĐ</t>
  </si>
  <si>
    <t>THÀNH TIỀN
(Trước VAT)</t>
  </si>
  <si>
    <t>Thành tiền</t>
  </si>
  <si>
    <t>Thuế suất</t>
  </si>
  <si>
    <t>Thuế VAT</t>
  </si>
  <si>
    <t>TỔNG THÀNH TIỀN (sau VAT)</t>
  </si>
  <si>
    <t>ĐƠN GIÁ TRƯỚC THUẾ</t>
  </si>
  <si>
    <t xml:space="preserve">BẢNG DỰ TOÁN CHI PHÍ MUA SẮM VẬT TƯ, THIẾT BỊ TRONG NƯỚC </t>
  </si>
  <si>
    <t>THUẾ SUẤT VAT</t>
  </si>
  <si>
    <t>1USD</t>
  </si>
  <si>
    <t>1EUR</t>
  </si>
  <si>
    <t>Chi phí mua sắm vật liệu</t>
  </si>
  <si>
    <t>Chi phí mua sắm sản phẩm, cấu kiện</t>
  </si>
  <si>
    <t>1.5</t>
  </si>
  <si>
    <t>Chi phí thông quan thiết bị, vật liệu lắp đặt ngoại nhập</t>
  </si>
  <si>
    <t>Chi phí mua sắm thiết bị</t>
  </si>
  <si>
    <t>Chi phí mua sắm vật liệu lắp đặt</t>
  </si>
  <si>
    <t>Chi phí mua sắm vật liệu điện</t>
  </si>
  <si>
    <t>Chi phí mua sắm cột</t>
  </si>
  <si>
    <t>Chi phí thông quan cho thiết bị, vật liệu lắp đặt ngoại nhập</t>
  </si>
  <si>
    <t>Chi phí làm thủ tục tại cảng và thủ tục thông quan cho TB, VL NN</t>
  </si>
  <si>
    <t>Chi phí làm thủ tục và tiếp nhận hàng tại cảng cho TB, VL NN</t>
  </si>
  <si>
    <t>Chi phí bảo hiểm hàng hóa cho TB, VL NN</t>
  </si>
  <si>
    <t>Chi phí mở kiểm hàng, thuê kho, lưu kho bảo quản TB  cho TB, VL NN</t>
  </si>
  <si>
    <t>VẬT TƯ XÂY DỰNG NGOẠI NHẬP</t>
  </si>
  <si>
    <t>Chi phí thông quan cho vật liệu, sản phẩm, cấu kiện xây dựng ngoại nhập</t>
  </si>
  <si>
    <t>Chi phí làm thủ tục tại cảng và thủ tục thông quan cho VLXDNN</t>
  </si>
  <si>
    <t>Chi phí làm thủ tục và tiếp nhận hàng tại cảng cho VLXDNN</t>
  </si>
  <si>
    <t>Chi phí bảo hiểm hàng hóa cho VLXDNN</t>
  </si>
  <si>
    <t>Chi phí mở kiểm hàng, thuê kho, lưu kho bảo quản vật tư cho VLXDNN</t>
  </si>
  <si>
    <t>THIẾT BỊ, VẬT LIỆU LẮP ĐẶT NGOẠI NHẬP</t>
  </si>
  <si>
    <t>Bảng DD1</t>
  </si>
  <si>
    <t>≤ 5</t>
  </si>
  <si>
    <t>Bảng CN1</t>
  </si>
  <si>
    <t>Cấp điện áp</t>
  </si>
  <si>
    <t>          Chi phí XD và TB (tỷ đồng)</t>
  </si>
  <si>
    <t>Cáp ngầm điện áp &lt; 6KV</t>
  </si>
  <si>
    <t>Cáp ngầm điện áp 220KV</t>
  </si>
  <si>
    <t>Bảng CN 2</t>
  </si>
  <si>
    <t>Công trình hóa chất</t>
  </si>
  <si>
    <t>Công trình khai thác than, quặng (mỏ vật liệu): Mỏ lộ thiên</t>
  </si>
  <si>
    <t>Công trình khai thác than, quặng (mỏ vật liệu): Mỏ hầm lò</t>
  </si>
  <si>
    <t>Công trình sản xuất xi măng</t>
  </si>
  <si>
    <t>Công trình trạm biến áp</t>
  </si>
  <si>
    <t>Bảng TL1</t>
  </si>
  <si>
    <t>Chi phí thiết bị (chưa có thuế GTGT), (tỷ đồng)</t>
  </si>
  <si>
    <t>Bảng HTKT 1</t>
  </si>
  <si>
    <t>Công trình truyền dẫn cáp treo, cáp chôn trực tiếp</t>
  </si>
  <si>
    <t>Công trình tuyến cáp chôn qua sông</t>
  </si>
  <si>
    <t>Công trình hào kỹ thuật, cống cáp ngầm</t>
  </si>
  <si>
    <t>Bảng HTKT 2</t>
  </si>
  <si>
    <t>Các loại tổng đài host, vệ tinh, độc lập</t>
  </si>
  <si>
    <t>Các loại tổng đài MSC, BSC, truy nhập thuê bao, nhắn tin</t>
  </si>
  <si>
    <t>Hệ thống thiết bị truyền dẫn quang</t>
  </si>
  <si>
    <t>Hệ thống truyền dẫn vi ba</t>
  </si>
  <si>
    <t>Mạng viễn thông nông thôn</t>
  </si>
  <si>
    <t>Mạng Internet, voip, thiết bị mạng NGN</t>
  </si>
  <si>
    <t>Hệ thống tiếp đất chống sét (cả thiết bị)</t>
  </si>
  <si>
    <t>Trạm thông tin vệ tinh Vsat</t>
  </si>
  <si>
    <t>Thiết bị trạm BTS, CS, điện thoại thẻ</t>
  </si>
  <si>
    <t>≥ 10.000</t>
  </si>
  <si>
    <t>Tổng mức đầu tư (tỷ đồng)</t>
  </si>
  <si>
    <t>Công trình đường dây tải điện trung áp từ 6 đến 35 KV xây dựng mới</t>
  </si>
  <si>
    <t>Chiều dài tuyến đường dây L (km)</t>
  </si>
  <si>
    <t>Định mức tỷ lệ % (so với giá trị dự toán xây lắp trước thuế)</t>
  </si>
  <si>
    <t>Đướng cáp ngầm trung áp từ 6 đến 35KV</t>
  </si>
  <si>
    <t>Chiều dài tuyến cáp ngầm L (km)</t>
  </si>
  <si>
    <t>Trạm biến áp trung gian từ 6 đến 35KV đối với trạm xây dựng mới</t>
  </si>
  <si>
    <t>Dung lượng TBA S (MVA)</t>
  </si>
  <si>
    <t>Trạm biến áp phân phối từ 6 đến 35KV đối với trạm xây dựng mới</t>
  </si>
  <si>
    <t>Dung lượng trạm biến áp S (KVA)</t>
  </si>
  <si>
    <t>Trạm biến áp xây dựng mới từ 100KV đến 500KV</t>
  </si>
  <si>
    <t>Phí thẩm định phê duyệt thiết kế về phòng cháy và chữa cháy</t>
  </si>
  <si>
    <t>CHI PHÍ BỒI THƯỜNG, HỖ TRỢ, TÁI ĐỊNH CƯ</t>
  </si>
  <si>
    <t>CHI PHÍ XÂY DỰNG</t>
  </si>
  <si>
    <r>
      <t xml:space="preserve"> G</t>
    </r>
    <r>
      <rPr>
        <b/>
        <vertAlign val="subscript"/>
        <sz val="12"/>
        <color theme="3" tint="0.39997558519241921"/>
        <rFont val="Times New Roman"/>
        <family val="1"/>
      </rPr>
      <t>XD1</t>
    </r>
  </si>
  <si>
    <r>
      <t xml:space="preserve"> G</t>
    </r>
    <r>
      <rPr>
        <b/>
        <vertAlign val="subscript"/>
        <sz val="12"/>
        <color theme="3" tint="0.39997558519241921"/>
        <rFont val="Times New Roman"/>
        <family val="1"/>
      </rPr>
      <t>XD2</t>
    </r>
  </si>
  <si>
    <r>
      <t xml:space="preserve"> G</t>
    </r>
    <r>
      <rPr>
        <b/>
        <vertAlign val="subscript"/>
        <sz val="12"/>
        <color theme="3" tint="0.39997558519241921"/>
        <rFont val="Times New Roman"/>
        <family val="1"/>
      </rPr>
      <t>XD3</t>
    </r>
  </si>
  <si>
    <t>Định mức tỷ lệ</t>
  </si>
  <si>
    <r>
      <t xml:space="preserve"> G</t>
    </r>
    <r>
      <rPr>
        <b/>
        <vertAlign val="subscript"/>
        <sz val="12"/>
        <color theme="3" tint="0.39997558519241921"/>
        <rFont val="Times New Roman"/>
        <family val="1"/>
      </rPr>
      <t>TB6</t>
    </r>
    <r>
      <rPr>
        <sz val="11"/>
        <color theme="1"/>
        <rFont val="Calibri"/>
        <family val="2"/>
        <scheme val="minor"/>
      </rPr>
      <t/>
    </r>
  </si>
  <si>
    <t>CHI PHÍ THIẾT BỊ</t>
  </si>
  <si>
    <t>CHI PHÍ QUẢN LÝ DỰ ÁN</t>
  </si>
  <si>
    <t>Chi phí xây dựng và ch phí thiết bị trước thuế =</t>
  </si>
  <si>
    <t>CHI PHÍ TƯ VẤN XÂY DỰNG</t>
  </si>
  <si>
    <t>Định mức chi phí (Nt) =</t>
  </si>
  <si>
    <t>Phí thẩm định thiết xây dựng triển khai sau thiết kế cơ sở</t>
  </si>
  <si>
    <t>Điểm b Khoản 1 Điều 46 Nghị định  99/2021/ND-CP ngày 11/11/2021</t>
  </si>
  <si>
    <t>Điểm c Khoản 1 Điều 46 Nghị định  99/2021/ND-CP ngày 11/11/2021</t>
  </si>
  <si>
    <t>Thông tư số 50/2022/TT-BTC</t>
  </si>
  <si>
    <t>Chi phí lắp đặt</t>
  </si>
  <si>
    <t>6.5</t>
  </si>
  <si>
    <t>Chi phí thẩm tra, phê duyệt quyết toán (Nghị định số 99/2021/NĐ-CP)</t>
  </si>
  <si>
    <t>Chi phí kiểm toán độc lập (Nghị định số 99/2021/NĐ-CP)</t>
  </si>
  <si>
    <t>(theo văn bản số 9225/BCT-TCNL ngày 05/10/2011)</t>
  </si>
  <si>
    <t>Đường dây tải điện trên không, 1 mạch từ 100KV đến 500KV xây dựng mới - Điện áp 110KV</t>
  </si>
  <si>
    <t>Đường dây tải điện trên không, 1 mạch từ 100KV đến 500KV xây dựng mới - Điện áp 220KV</t>
  </si>
  <si>
    <t>Đường dây tải điện trên không, 1 mạch từ 100KV đến 500KV xây dựng mới - Điện áp 500KV</t>
  </si>
  <si>
    <t>Công trình dầu khí, năng lượng, hóa chất</t>
  </si>
  <si>
    <t>Công trình khác</t>
  </si>
  <si>
    <t>Chi phí xây dựng và chi phí thiết bị trước thuế =</t>
  </si>
  <si>
    <t>Chi phí công tác nghiệm thu đóng điện công trình đường cáp ngầm trung áp từ 6 đến 35 KV</t>
  </si>
  <si>
    <t>Giá trị dự toán xây lắp trước thuế =</t>
  </si>
  <si>
    <t>Định mức tỷ lệ % =</t>
  </si>
  <si>
    <t xml:space="preserve">THIẾT BỊ, VẬT LIỆU LẮP ĐẶT TRONG NƯỚC </t>
  </si>
  <si>
    <t>TV|BCNCTKT</t>
  </si>
  <si>
    <t>TV|BCNCKT</t>
  </si>
  <si>
    <t>TV|CP-TKKT</t>
  </si>
  <si>
    <t>TV|CP-TK</t>
  </si>
  <si>
    <t>TV|TT-DTXD</t>
  </si>
  <si>
    <t>TV|GSTCXD</t>
  </si>
  <si>
    <t>TV|QDV</t>
  </si>
  <si>
    <t>QLDA|</t>
  </si>
  <si>
    <t>Chi phí quản lý dự án (tính trên TMĐT)</t>
  </si>
  <si>
    <t>Nt*(GXDtt+GTBtt)</t>
  </si>
  <si>
    <t>K|TD-DAĐT</t>
  </si>
  <si>
    <t>K|TĐ-TKXDCS</t>
  </si>
  <si>
    <t>K|PTĐ-DTXD</t>
  </si>
  <si>
    <t>TMĐTTT*ĐMTL</t>
  </si>
  <si>
    <t>Chiều dài tuyến đường dây L (km) =</t>
  </si>
  <si>
    <t>K|KT-DL</t>
  </si>
  <si>
    <t>K|TT-PDQT</t>
  </si>
  <si>
    <t>K|DZ-TA-6-35</t>
  </si>
  <si>
    <t>Công trình công nghiệp khác</t>
  </si>
  <si>
    <r>
      <t>G</t>
    </r>
    <r>
      <rPr>
        <vertAlign val="subscript"/>
        <sz val="12"/>
        <color theme="1"/>
        <rFont val="Times New Roman"/>
        <family val="1"/>
      </rPr>
      <t>BT, TĐT</t>
    </r>
  </si>
  <si>
    <r>
      <t>G</t>
    </r>
    <r>
      <rPr>
        <b/>
        <vertAlign val="subscript"/>
        <sz val="12"/>
        <rFont val="Times New Roman"/>
        <family val="1"/>
      </rPr>
      <t>DP1</t>
    </r>
    <r>
      <rPr>
        <b/>
        <sz val="12"/>
        <rFont val="Times New Roman"/>
        <family val="1"/>
      </rPr>
      <t xml:space="preserve"> + G</t>
    </r>
    <r>
      <rPr>
        <b/>
        <vertAlign val="subscript"/>
        <sz val="12"/>
        <rFont val="Times New Roman"/>
        <family val="1"/>
      </rPr>
      <t>DP2</t>
    </r>
  </si>
  <si>
    <r>
      <t>G</t>
    </r>
    <r>
      <rPr>
        <vertAlign val="subscript"/>
        <sz val="12"/>
        <rFont val="Times New Roman"/>
        <family val="1"/>
      </rPr>
      <t>DP</t>
    </r>
    <r>
      <rPr>
        <b/>
        <vertAlign val="subscript"/>
        <sz val="12"/>
        <rFont val="Times New Roman"/>
        <family val="1"/>
      </rPr>
      <t>1</t>
    </r>
  </si>
  <si>
    <r>
      <t>G</t>
    </r>
    <r>
      <rPr>
        <b/>
        <vertAlign val="subscript"/>
        <sz val="12"/>
        <rFont val="Times New Roman"/>
        <family val="1"/>
      </rPr>
      <t>GPMB</t>
    </r>
    <r>
      <rPr>
        <b/>
        <sz val="12"/>
        <rFont val="Times New Roman"/>
        <family val="1"/>
      </rPr>
      <t>+G</t>
    </r>
    <r>
      <rPr>
        <b/>
        <vertAlign val="subscript"/>
        <sz val="12"/>
        <rFont val="Times New Roman"/>
        <family val="1"/>
      </rPr>
      <t>XD</t>
    </r>
    <r>
      <rPr>
        <b/>
        <sz val="12"/>
        <rFont val="Times New Roman"/>
        <family val="1"/>
      </rPr>
      <t xml:space="preserve"> + G</t>
    </r>
    <r>
      <rPr>
        <b/>
        <vertAlign val="subscript"/>
        <sz val="12"/>
        <rFont val="Times New Roman"/>
        <family val="1"/>
      </rPr>
      <t>TB</t>
    </r>
    <r>
      <rPr>
        <b/>
        <sz val="12"/>
        <rFont val="Times New Roman"/>
        <family val="1"/>
      </rPr>
      <t xml:space="preserve"> + G</t>
    </r>
    <r>
      <rPr>
        <b/>
        <vertAlign val="subscript"/>
        <sz val="12"/>
        <rFont val="Times New Roman"/>
        <family val="1"/>
      </rPr>
      <t>QLDA</t>
    </r>
    <r>
      <rPr>
        <b/>
        <sz val="12"/>
        <rFont val="Times New Roman"/>
        <family val="1"/>
      </rPr>
      <t xml:space="preserve"> + G</t>
    </r>
    <r>
      <rPr>
        <b/>
        <vertAlign val="subscript"/>
        <sz val="12"/>
        <rFont val="Times New Roman"/>
        <family val="1"/>
      </rPr>
      <t>TV</t>
    </r>
    <r>
      <rPr>
        <b/>
        <sz val="12"/>
        <rFont val="Times New Roman"/>
        <family val="1"/>
      </rPr>
      <t xml:space="preserve"> + G</t>
    </r>
    <r>
      <rPr>
        <b/>
        <vertAlign val="subscript"/>
        <sz val="12"/>
        <rFont val="Times New Roman"/>
        <family val="1"/>
      </rPr>
      <t>K</t>
    </r>
    <r>
      <rPr>
        <b/>
        <sz val="12"/>
        <rFont val="Times New Roman"/>
        <family val="1"/>
      </rPr>
      <t xml:space="preserve"> + G</t>
    </r>
    <r>
      <rPr>
        <b/>
        <vertAlign val="subscript"/>
        <sz val="12"/>
        <rFont val="Times New Roman"/>
        <family val="1"/>
      </rPr>
      <t>DP</t>
    </r>
  </si>
  <si>
    <t>Chi phí xây dựng và thiết bị (chưa có thuế GTGT) =</t>
  </si>
  <si>
    <t>Chi phí xây dựng (chưa có thuế GTGT) =</t>
  </si>
  <si>
    <t>Chi phí xây dựng (chưa có thuế GTGT) trong tổng mức đầu tư hoặc trong dự toán gói thầu =</t>
  </si>
  <si>
    <t>Chi phí xây dựng (chưa có thuế GTGT) trong dự toán gói thầu thi công xây dựng =</t>
  </si>
  <si>
    <t>Giá trị tổng mức đầu tư (chưa có thuế GTGT) được duyệt =</t>
  </si>
  <si>
    <t>Tổng mức đầu tư dự án =</t>
  </si>
  <si>
    <t>Chi phí xây dựng (chưa bao gồm thuế giá trị gia tăng) trong dự toán công trình đề nghị thẩm định =</t>
  </si>
  <si>
    <t>Tổng mức đầu tư =</t>
  </si>
  <si>
    <t>Giá trị cần thuê kiểm toán của dự án, dự án thành phần, tiểu dự án, công trình, hạng mục công trình độc lập =</t>
  </si>
  <si>
    <t>CÁCH TÍNH, GIÁ TRỊ</t>
  </si>
  <si>
    <t>L2</t>
  </si>
  <si>
    <t>L1</t>
  </si>
  <si>
    <t>L3</t>
  </si>
  <si>
    <t>TỶ LỆ CHI PHÍ CÔNG TÁC NGHIỆM THU ĐÓNG ĐIỆN BÀN GIAO CÔNG TRÌNH ĐƯỜNG DÂY VÀ TRẠM BIẾN ÁP</t>
  </si>
  <si>
    <t>Nt*CPXDtt*k*60%</t>
  </si>
  <si>
    <t>GXDtt*Nt*k</t>
  </si>
  <si>
    <t>GTKT*Nt*k</t>
  </si>
  <si>
    <t>L4</t>
  </si>
  <si>
    <t>Tổng mức đầu tư DA (tỷ đồng)</t>
  </si>
  <si>
    <t>L5</t>
  </si>
  <si>
    <t>Đối với các dự án thuộc từ 02 nhóm trở lên thì áp dụng mức phí của nhóm có mức thu cao nhất.</t>
  </si>
  <si>
    <t>Nhóm dự án</t>
  </si>
  <si>
    <t>Nhóm 1. Dự án dân dụng</t>
  </si>
  <si>
    <t>Nhóm 6. Dự án xử lý chất thải và cải thiện môi trường và các Dự án khác (không thuộc nhóm 1, 2, 3, 4, 5 nêu trên)</t>
  </si>
  <si>
    <t>Biểu mức thu phí thẩm định báo cáo đánh giá tác động môi trường (kèm theo Thông tư số 56/2018/TT-BTC ngày 25/06/2018 của Bộ Tài chính)</t>
  </si>
  <si>
    <t>(theo Thông tư 258/2016/TT-BTC ngày 11/11/2016 của Bộ Tài chính)</t>
  </si>
  <si>
    <t>Biểu mức thu phí thẩm định dự án đầu tư xây dựng (phí thẩm định báo cáo nghiên cứu khả thi đầu tư xây dựng hoặc phí thẩm định báo cáo kinh tế - kỹ thuật)</t>
  </si>
  <si>
    <t>(theo Thông tư số 27/2023/TT-BTC ngày 12/05/2023 của Bộ Tài chính)</t>
  </si>
  <si>
    <t>L6</t>
  </si>
  <si>
    <t>L7</t>
  </si>
  <si>
    <t>L8</t>
  </si>
  <si>
    <t>ĐỊNH MỨC QUY HOẠCH ( Theo TT số 20/2019/TT-BXD ngày 31/12/2019 của BXD)</t>
  </si>
  <si>
    <t>Định mức chi phí lập đồ án quy hoạch xây dựng vùng huyện, vùng liên huyện</t>
  </si>
  <si>
    <t>Quy mô (Km2)</t>
  </si>
  <si>
    <t>Định mức chi phí lập đồ án quy hoạch</t>
  </si>
  <si>
    <t>Định mức chi phí lập nhiệm vụ quy hoạch xây dựng vùng huyện, vùng liên huyện</t>
  </si>
  <si>
    <t>Định mức chi phí lập nhiệm vụ quy hoạch</t>
  </si>
  <si>
    <t>Quy mô (ha)</t>
  </si>
  <si>
    <t>Định mức chi phí lập đồ án quy hoạch chung đô thị</t>
  </si>
  <si>
    <t>Định mức chi phí lập nhiệm vụ quy hoạch chung đô thị</t>
  </si>
  <si>
    <t>Định mức chi phí lập đồ án quy hoạch chung đô thị</t>
  </si>
  <si>
    <t>Định mức về hệ số điều chỉnh mật độ dân số</t>
  </si>
  <si>
    <t>Cáp ngầm điện áp 6 , 110KV</t>
  </si>
  <si>
    <t>Hệ số điều chỉnh k =</t>
  </si>
  <si>
    <t>Mật đô dân số (người/km2)</t>
  </si>
  <si>
    <t>Hệ số theo mật độ dân số</t>
  </si>
  <si>
    <t>Định mức chi phí lập đồ án quy hoạch phân khu đô thị (tỷ tệ 1/2000)</t>
  </si>
  <si>
    <t>Quy mô (Ha)</t>
  </si>
  <si>
    <t>Định mức chi phí lập nhiệm vụ quy hoạch phân khu đô thị (tỷ tệ 1/2000)</t>
  </si>
  <si>
    <t>Định mức chi phí lập đồ án quy hoạch chi tiết đô thị (tỷ lệ 1/500)</t>
  </si>
  <si>
    <t>Định mức chi phí lập nhiệm vụ quy hoạch chi tiết đô thị (tỷ lệ 1/500)</t>
  </si>
  <si>
    <t>Định mức chi phí lập đồ án quy hoạch chuyên ngành hạ tầng kỹ thuật của các thành phố trực thuộc Trung ương</t>
  </si>
  <si>
    <t>Định mức chi phí lập đồ án so với chi phí lập đồ án quy hoạch chung đô thị</t>
  </si>
  <si>
    <t>Quy hoạch chuyên ngành giao thông đô thị</t>
  </si>
  <si>
    <t>Quy hoạch cao độ nền và thoát nước mặt đô thị</t>
  </si>
  <si>
    <t>Quy hoạch cấp nước đô thị</t>
  </si>
  <si>
    <t>Quy hoạch thoát nước thải đô thị</t>
  </si>
  <si>
    <t>Quy hoạch xử lý chất thải rắn đô thị</t>
  </si>
  <si>
    <t>Quy hoạch nghĩa trang đô thị và cơ sở hỏa táng đô thị</t>
  </si>
  <si>
    <t>Quy hoạch chiếu sáng đô thị</t>
  </si>
  <si>
    <t>Quy hoạch cấp điện đô thị</t>
  </si>
  <si>
    <t>Quy hoạch thông tin liên lạc đô thị</t>
  </si>
  <si>
    <t>HoaBinh</t>
  </si>
  <si>
    <t>AB.25112</t>
  </si>
  <si>
    <t/>
  </si>
  <si>
    <t>AB.65120</t>
  </si>
  <si>
    <t>AB.65130</t>
  </si>
  <si>
    <t>AB.41412</t>
  </si>
  <si>
    <t>AB.66142</t>
  </si>
  <si>
    <t>AE.11122A</t>
  </si>
  <si>
    <t>AE.11112A</t>
  </si>
  <si>
    <t>AF.81111</t>
  </si>
  <si>
    <t>AF.61110</t>
  </si>
  <si>
    <t>AF.61120</t>
  </si>
  <si>
    <t>AF.11212</t>
  </si>
  <si>
    <t>AF.11311</t>
  </si>
  <si>
    <t>AF.81141</t>
  </si>
  <si>
    <t>AF.61511</t>
  </si>
  <si>
    <t>AF.61521</t>
  </si>
  <si>
    <t>AF.12312</t>
  </si>
  <si>
    <t>AF.81152</t>
  </si>
  <si>
    <t>AF.61611</t>
  </si>
  <si>
    <t>AF.61621</t>
  </si>
  <si>
    <t>AF.12512</t>
  </si>
  <si>
    <t>AE.33112</t>
  </si>
  <si>
    <t>AE.32212</t>
  </si>
  <si>
    <t>AE.31112</t>
  </si>
  <si>
    <t>AI.11221</t>
  </si>
  <si>
    <t>AI.61131</t>
  </si>
  <si>
    <t>AK.12111</t>
  </si>
  <si>
    <t>AK.21122</t>
  </si>
  <si>
    <t>AK.21222</t>
  </si>
  <si>
    <t>AK.22123</t>
  </si>
  <si>
    <t>AK.23112</t>
  </si>
  <si>
    <t>AK.84222</t>
  </si>
  <si>
    <t>AK.84224</t>
  </si>
  <si>
    <t>AK.53110</t>
  </si>
  <si>
    <t>AI.11610</t>
  </si>
  <si>
    <t>AI.63221</t>
  </si>
  <si>
    <t>BA.15402</t>
  </si>
  <si>
    <t>BA.18302</t>
  </si>
  <si>
    <t>BA.18202</t>
  </si>
  <si>
    <t>BA.18201</t>
  </si>
  <si>
    <t>BA.13310</t>
  </si>
  <si>
    <t>BA.13102</t>
  </si>
  <si>
    <t>BA.17102</t>
  </si>
  <si>
    <t>BA.17103</t>
  </si>
  <si>
    <t>BA.17104</t>
  </si>
  <si>
    <t>BA.17202</t>
  </si>
  <si>
    <t>BA.16202</t>
  </si>
  <si>
    <t>BA.16104</t>
  </si>
  <si>
    <t>BA.16103</t>
  </si>
  <si>
    <t>BA.14402</t>
  </si>
  <si>
    <t>CÔNG TÁC ĐẤT</t>
  </si>
  <si>
    <t>- KL đào</t>
  </si>
  <si>
    <t>0.3232</t>
  </si>
  <si>
    <t>- Trừ KL cát đen lót nền</t>
  </si>
  <si>
    <t>-0.0255</t>
  </si>
  <si>
    <t>- Trừ KL móng chiếm chỗ</t>
  </si>
  <si>
    <t>- trừ KL đào</t>
  </si>
  <si>
    <t>-0.3232</t>
  </si>
  <si>
    <t>- cộng KL đắp</t>
  </si>
  <si>
    <t>0.0492</t>
  </si>
  <si>
    <t>0.2918</t>
  </si>
  <si>
    <t>PHẦN MÓNG</t>
  </si>
  <si>
    <t>- BT giằng móng</t>
  </si>
  <si>
    <t>DM2</t>
  </si>
  <si>
    <t>PHẦN THÂN</t>
  </si>
  <si>
    <t>lam bê tông - trục A-C, C-A</t>
  </si>
  <si>
    <t>- ván thành</t>
  </si>
  <si>
    <t>- ván đáy</t>
  </si>
  <si>
    <t>CÔNG TÁC XÂY</t>
  </si>
  <si>
    <t>- Tường ngoài nhà</t>
  </si>
  <si>
    <t>- Tường trong nhà</t>
  </si>
  <si>
    <t>* Tường thu hồi mái</t>
  </si>
  <si>
    <t>- Trục A</t>
  </si>
  <si>
    <t>HỆ KÉT CẤU MÁI</t>
  </si>
  <si>
    <t>Gia công xà gồ thép</t>
  </si>
  <si>
    <t>Lắp dựng xà gồ thép</t>
  </si>
  <si>
    <t>PHẦN HOÀN THIỆN</t>
  </si>
  <si>
    <t>*Tường thu hồi</t>
  </si>
  <si>
    <t>diện tích trát tường trong nhà</t>
  </si>
  <si>
    <t>254.0998</t>
  </si>
  <si>
    <t>diện tích trát xà dầm trong nhà</t>
  </si>
  <si>
    <t>2.849</t>
  </si>
  <si>
    <t>diện tích trát tường ngoài nhà</t>
  </si>
  <si>
    <t>140.832</t>
  </si>
  <si>
    <t>diện tích trát xà dầm ngoài nhà</t>
  </si>
  <si>
    <t>18.7634</t>
  </si>
  <si>
    <t>diện tích trát cột trụ độc lập</t>
  </si>
  <si>
    <t>17.16</t>
  </si>
  <si>
    <t>HỆ CỬA</t>
  </si>
  <si>
    <t>Cửa đi gỗ pano đặc. (Tương đương gỗ nhóm III)</t>
  </si>
  <si>
    <t>Cửa đi nhôm Việt - Pháp hoặc Xingfa</t>
  </si>
  <si>
    <t>Cửa sổ nhôm Việt - Pháp hoặc Xingfa</t>
  </si>
  <si>
    <t>Vách kính nhôm Việt - Pháp hoặc Xingfa</t>
  </si>
  <si>
    <t>Gia công cửa sắt, hoa sắt</t>
  </si>
  <si>
    <t>theo thiết kế song sắt cửa sổ sắt hộp, tạm tính 12kg/m2:</t>
  </si>
  <si>
    <t>Lắp dựng hoa sắt cửa</t>
  </si>
  <si>
    <t>PHẦN ĐIỆN</t>
  </si>
  <si>
    <t>Thiết bị ổ cắm, đèn, dây điện</t>
  </si>
  <si>
    <t>HM</t>
  </si>
  <si>
    <t>HM1</t>
  </si>
  <si>
    <t>HM2</t>
  </si>
  <si>
    <t>GXD+GDP</t>
  </si>
  <si>
    <t>Ẩn đơn giá tại sheet Du toan XD</t>
  </si>
  <si>
    <t>HM3</t>
  </si>
  <si>
    <t>PHẦN XÀ DẦM GIẰNG</t>
  </si>
  <si>
    <t>HM4</t>
  </si>
  <si>
    <t>HM5</t>
  </si>
  <si>
    <t>HM6</t>
  </si>
  <si>
    <t>1.6</t>
  </si>
  <si>
    <t>HM7</t>
  </si>
  <si>
    <t>1.7</t>
  </si>
  <si>
    <t>HM8</t>
  </si>
  <si>
    <t>1.8</t>
  </si>
  <si>
    <t xml:space="preserve">M1 </t>
  </si>
  <si>
    <t xml:space="preserve">M2 </t>
  </si>
  <si>
    <t xml:space="preserve">M3 </t>
  </si>
  <si>
    <t xml:space="preserve">* Từ cos đáy móng đến cos -0.450 </t>
  </si>
  <si>
    <t xml:space="preserve">DM1 </t>
  </si>
  <si>
    <t xml:space="preserve">Dầm hiên D1 </t>
  </si>
  <si>
    <t>Giằng tường GT</t>
  </si>
  <si>
    <t>Giằng tường mái thu hồi GT</t>
  </si>
  <si>
    <t>PHẦN MÁI HẮT, LANH TÔ</t>
  </si>
  <si>
    <t xml:space="preserve">Lam bê tông - trục đứng 1-5: </t>
  </si>
  <si>
    <t xml:space="preserve">lam bê tông - trục đứng 1-5: </t>
  </si>
  <si>
    <t>2*(5.4+0.4*2)*0.8*(1.2-0.45)/100</t>
  </si>
  <si>
    <t>1*(13.2-0.4*2)*0.8*(1.2-0.45)/100</t>
  </si>
  <si>
    <t>3*(5.4-0.4*2)*0.8*(1.2-0.45)/100</t>
  </si>
  <si>
    <t>2*(1.5-0.4-0.34)*0.5*(0.68-0.45)/100</t>
  </si>
  <si>
    <t>1*(13.2+0.16*2)*0.5*(0.68-0.45)/100</t>
  </si>
  <si>
    <t>-2*(5.4+0.35*2)*0.7*0.55/100</t>
  </si>
  <si>
    <t>-1*(13.2-0.35*2)*0.7*0.55/100</t>
  </si>
  <si>
    <t>-2*(5.4+0.2*2)*0.4*0.2/100</t>
  </si>
  <si>
    <t>-1*(13.2-0.2*2)*0.4*0.2/100</t>
  </si>
  <si>
    <t>-1*(13.2-0.4*2)*0.7*0.55/100</t>
  </si>
  <si>
    <t>-3*(5.4-0.4*2)*0.7*0.55/100</t>
  </si>
  <si>
    <t>-3*(5.4-0.2*2)*0.4*0.2/100</t>
  </si>
  <si>
    <t>-2*(1.5-0.35-0.29)*0.4*0.18/100</t>
  </si>
  <si>
    <t>-1*(13.2+0.11 *2)*0.4*0.18/100</t>
  </si>
  <si>
    <t>- Trục A-B: 1*(13.2-0.34*2)*(1.5-0.34-0.2)*0.23/100</t>
  </si>
  <si>
    <t>- Trục B-C: 4*(3.3-0.2*2)*(5.4-0.2*2)*0.23/100</t>
  </si>
  <si>
    <t>- Trục A-B: 1*(13.2-0.34*2)*(1.5-0.34-0.11)*0.17/100</t>
  </si>
  <si>
    <t>- Trục B-C: 4*(3.3-0.22)*(5.4-0.22)*0.17/100</t>
  </si>
  <si>
    <t>2*(5.4+0.4*2)*0.8*0.05/100</t>
  </si>
  <si>
    <t>1*(13.2+0.4*2)*0.8*0.05/100</t>
  </si>
  <si>
    <t>3*(5.4-0.4*2)*0.8*0.05/100</t>
  </si>
  <si>
    <t>2*(1.5-0.4-0.34)*0.5*0.05/100</t>
  </si>
  <si>
    <t>1*(13.2+0.16*2)*0.5*0.05/100</t>
  </si>
  <si>
    <t>2*(5.4+0.35*2)*0.7*0.55</t>
  </si>
  <si>
    <t>1*(13.2-0.35*2)*0.7*0.55</t>
  </si>
  <si>
    <t>2*(5.4+0.2*2)*0.4*0.43</t>
  </si>
  <si>
    <t>1*(13.2-0.2*2)*0.4*0.43</t>
  </si>
  <si>
    <t>1*(13.2-0.4*2)*0.7*0.55</t>
  </si>
  <si>
    <t>3*(5.4-0.4*2)*0.7*0.55</t>
  </si>
  <si>
    <t>3*(5.4-0.2*2)*0.4*0.43</t>
  </si>
  <si>
    <t>2*(1.5-0.35-0.29)*0.4*0.18</t>
  </si>
  <si>
    <t>2*(1.5-0.2-0.29)*0.4*0.45</t>
  </si>
  <si>
    <t>1*(13.2+0.11*2)*0.4*0.63</t>
  </si>
  <si>
    <t>5*(5.4-0.22)*0.22*2/100</t>
  </si>
  <si>
    <t>2*(13.2+0.22)*0.22*2/100</t>
  </si>
  <si>
    <t>DM1: 35,42/1000</t>
  </si>
  <si>
    <t>DM2: 33,56/1000</t>
  </si>
  <si>
    <t>DM1: 271,79/1000</t>
  </si>
  <si>
    <t>DM2: 268,56/1000</t>
  </si>
  <si>
    <t>5*(5.4-0.22)*0.22*0.22</t>
  </si>
  <si>
    <t>2*(13.2+0.22)*0.22*0.22</t>
  </si>
  <si>
    <t>- Trục A-B: 1*(13.2+0.22-0.4*2)*(1.5-0.5)*0.1</t>
  </si>
  <si>
    <t>- Trục B-C: 1*(13.2-4*0.22)*(5.4-0.22)*0.1</t>
  </si>
  <si>
    <t>vàn thành: 5*(1,5-0,11)*0,22*2/100</t>
  </si>
  <si>
    <t>ván đáy: 5*(1,5-0,11-0,055)*0,22/100</t>
  </si>
  <si>
    <t>ván thành: 55*0,22*2/100</t>
  </si>
  <si>
    <t>lam ngang - ván đáy: 2*(13,2+0,22)*0,22/100</t>
  </si>
  <si>
    <t>lam ngang - ván thành: 2*(13,2+0,22)*0,1*2/100</t>
  </si>
  <si>
    <t>lam đứng - ván thành: 4*0,2*(0,22+0,1)*2/100</t>
  </si>
  <si>
    <t>lam ngang - ván đáy: 2*2*(1,5-0,11)*0,22/100</t>
  </si>
  <si>
    <t>lam ngang - ván thành: 2*2*(1,5-0,11)*0,1*2/100</t>
  </si>
  <si>
    <t>lam đứng - ván thành: 2*1*0,2*(0,22+0,1)/100</t>
  </si>
  <si>
    <t>ván thành: 5*8*0,1*2/100</t>
  </si>
  <si>
    <t>D1: 11,19/1000</t>
  </si>
  <si>
    <t>GT: 101,28/1000</t>
  </si>
  <si>
    <t>lam bê tông: 16,4/1000</t>
  </si>
  <si>
    <t>giằng tường mái thu hồi GT: 21/1000</t>
  </si>
  <si>
    <t>D1: 85/1000</t>
  </si>
  <si>
    <t>GT: 729,07/1000</t>
  </si>
  <si>
    <t>lam bê tông: 67,7/1000</t>
  </si>
  <si>
    <t>giằng tường mái thu hồi GT: 70,8/1000</t>
  </si>
  <si>
    <t>D1: 5*(1,5-0,11)*0,22*0,22</t>
  </si>
  <si>
    <t>GT: 1*55*0,11*0,22</t>
  </si>
  <si>
    <t>lam ngang: 2*(13,2+0,22)*0,22*0,1</t>
  </si>
  <si>
    <t>lam đứng: 4*0,2*0,22*0,1</t>
  </si>
  <si>
    <t>lam ngang: 2*2*(1,5-0,11)*0,22*0,1</t>
  </si>
  <si>
    <t>lam đứng: 2*1*0,2*0,22*0,1</t>
  </si>
  <si>
    <t>5*8*0.11*0.1</t>
  </si>
  <si>
    <t>LT1/Loại 1.7m: 2*2*1,7*0,07*2/100</t>
  </si>
  <si>
    <t>LT2 - Trục 4/Loại 1.4m: 2*1,4*0,07*2/100</t>
  </si>
  <si>
    <t>LT2 - Trục B, C/LV: 6*1,7*(0,15+0,075)/100</t>
  </si>
  <si>
    <t>6*2*(0.71-0.055)*(0.05+0.075)/2/100</t>
  </si>
  <si>
    <t>6*1.7*0.07*2/100</t>
  </si>
  <si>
    <t>LT1/Loại 1.7m: 2*2*1,2*0,11/100</t>
  </si>
  <si>
    <t>LT2 - Trục 4/Loại 1.4m: 2*0,9*0,11/100</t>
  </si>
  <si>
    <t>LT2 - Trục C/LV: 6*1,2*0,11/100</t>
  </si>
  <si>
    <t>6*1.7*(0.71-0.055)/100</t>
  </si>
  <si>
    <t>LT1/Loại 1.7m: 4,0/1000</t>
  </si>
  <si>
    <t>LT2/Loại 1.4m: 0,8/1000</t>
  </si>
  <si>
    <t>LT2/Loại LV: 36,3/1000</t>
  </si>
  <si>
    <t>LT1/Loại 1.7m: 23,6/1000</t>
  </si>
  <si>
    <t>LT2/Loại 1.4m: 4,8/1000</t>
  </si>
  <si>
    <t>LT2/Loại LV: 43,9/1000</t>
  </si>
  <si>
    <t>LT1/Loại 1.7m: 2*2*1,7*0,11*0,07</t>
  </si>
  <si>
    <t>LT2/Loại 1.4m: 2*1,4*0,11*0,07</t>
  </si>
  <si>
    <t>LT2/Loại LV: 6*1,7*0,11*0,15</t>
  </si>
  <si>
    <t>6*1.7*(0.71-0.055)*(0.05+0.075)/2</t>
  </si>
  <si>
    <t>6*1.7*0.11*0.07</t>
  </si>
  <si>
    <t>Trụ hiên: 5*0,22*0,22*(3,9-0,1*2)</t>
  </si>
  <si>
    <t>trục 1,5: 2*(5,4-0,11)*0,11*(3,9-0,22)</t>
  </si>
  <si>
    <t>trục B: 1*(13,2+0,11)*0,11*(3,9-0,22)</t>
  </si>
  <si>
    <t>trừ cửa D1: -2*1,2*0,11*2,2</t>
  </si>
  <si>
    <t>-2*1.2*0.11*0.405</t>
  </si>
  <si>
    <t>trừ LT1: -2*2*1,7*0,11*0,07</t>
  </si>
  <si>
    <t>trừ cửa S1: -2*1,2*0,11*1,4</t>
  </si>
  <si>
    <t>trừ LV: -2*1,7*0,11*0,15</t>
  </si>
  <si>
    <t>-2*1.7*0.11*0.07</t>
  </si>
  <si>
    <t>trừ cửa S1: -4*1,2*0,11*1,4</t>
  </si>
  <si>
    <t>-4*1.2*0.11*0.405</t>
  </si>
  <si>
    <t>trừ LV: -4*1,7*0,11*0,15</t>
  </si>
  <si>
    <t>-4*1.7*0.11*0.07</t>
  </si>
  <si>
    <t>trục 2,4: 2*(5,4-0,11)*0,11*(3,9-0,22)</t>
  </si>
  <si>
    <t>trừ cửa D2: -2*2,2*0,7*0,11</t>
  </si>
  <si>
    <t>trừ lanh tô LT2: -2*0,11*0,07*1,4</t>
  </si>
  <si>
    <t>trục 1,2, 3, 4, 5: 5*6,922*0,11*1,662/2</t>
  </si>
  <si>
    <t>1*13.42*0.6*0.15</t>
  </si>
  <si>
    <t>1*13.42*0.3*0.15</t>
  </si>
  <si>
    <t>2*2.4*0.6*0.15</t>
  </si>
  <si>
    <t>2*(2.4-0.3*2)*0.3*0.15</t>
  </si>
  <si>
    <t>235.6/1000</t>
  </si>
  <si>
    <t>2*(13.2+0.11*2+0.3*2)*4.292/100</t>
  </si>
  <si>
    <t>* Trục B: 1*(13,2+0,11)*3,9</t>
  </si>
  <si>
    <t>trừ cửa D1: -2*1,2*2,2</t>
  </si>
  <si>
    <t>-2*1.2*0.405</t>
  </si>
  <si>
    <t>trừ cửa S1: -2*1,2*1,4</t>
  </si>
  <si>
    <t>* Trục C: 1*(13,2+0,11)*3,9</t>
  </si>
  <si>
    <t>trừ cửa S1: -4*1,2*1,4</t>
  </si>
  <si>
    <t>-4*1.2*0.405</t>
  </si>
  <si>
    <t>* Trục 1,5: 2*(5,4+0,11 )*3,9</t>
  </si>
  <si>
    <t>2*(6.9+0.11)*1.895/2</t>
  </si>
  <si>
    <t>trục B,C: 2*(13,2-0,11*3)*3,9</t>
  </si>
  <si>
    <t>trừ cửa D1: -2*2,2*1,2</t>
  </si>
  <si>
    <t>-2*0.405*1.2</t>
  </si>
  <si>
    <t>trừ cửa S1: -6*1,4*1,2</t>
  </si>
  <si>
    <t>-6*0.405*1.2</t>
  </si>
  <si>
    <t>trục 1,2.4.5: 6*(5,4-0,11)*3,9</t>
  </si>
  <si>
    <t>trừ cửa D2: -2*2,2*0,9</t>
  </si>
  <si>
    <t>8*(6.9+0.11)*1.895/2</t>
  </si>
  <si>
    <t>cột độc lập: 5*0,22*4*3,9</t>
  </si>
  <si>
    <t>trục 3: 1*(5,4-0,11*2)*0,22*2</t>
  </si>
  <si>
    <t>1*(5.4-0.11*2)*0.11</t>
  </si>
  <si>
    <t>trục 2, 3, 4: 3*(1,5-0,11-0,055)*0,22*2</t>
  </si>
  <si>
    <t>3*(1.5-0.11-0.055)*0.11</t>
  </si>
  <si>
    <t>lam ngang - mặt đáy: 1*(13,2-4*0,22)*0,22</t>
  </si>
  <si>
    <t>lam ngang - má trong ô thoáng: 4*(3,3-0,22+0,2)*2*0,22</t>
  </si>
  <si>
    <t>lam ngang - thành: 2*(13,2-4*0,22)*0,1*2</t>
  </si>
  <si>
    <t>lam đứng - thành: 4*0,2*0,1*2</t>
  </si>
  <si>
    <t>lam ngang - mặt đáy: 2*(1,5-0,11-0,055)*0,22</t>
  </si>
  <si>
    <t>lam ngang - má trong ô thoáng: 2*(1,5-0,11*2- 0,055+0,2)*2*0,22</t>
  </si>
  <si>
    <t>lam ngang - thành: 2*2*(1,5-0,11-0,055)*0,1*2</t>
  </si>
  <si>
    <t>lam đứng - thành: 2*1*0,2*0,1*2</t>
  </si>
  <si>
    <t>- Trục A-B: 1*(13.2+0.22)*(1.5-0.055+0.11)</t>
  </si>
  <si>
    <t>trừ trụ cột hiên: -5*0,22*0,22</t>
  </si>
  <si>
    <t>- Trục B-C: 1 *(13.2+0.11 )*(5.4+0.11)</t>
  </si>
  <si>
    <t>trừ tường trục B: -1*(13,2+0,11-2*1,2)*0,11</t>
  </si>
  <si>
    <t>trừ tường trục C: -1 *(13,2+0,11 )*0,11</t>
  </si>
  <si>
    <t>trừ tường trục 1,5: -2*(5,4-0,11 )*0,11</t>
  </si>
  <si>
    <t>trừ tường trục 2,4: -2*(5,4-0,11 -0,9)*0,11</t>
  </si>
  <si>
    <t>mặt bậc: 1*(13,2+0,71*2)*0,3</t>
  </si>
  <si>
    <t>2*(1.5-0.055+0.11)*0.3</t>
  </si>
  <si>
    <t>2*0.71*0.3</t>
  </si>
  <si>
    <t>cổ bậc: 1*(13,2+0,71*2)*0,15</t>
  </si>
  <si>
    <t>2*(0.3+1.5-0.055+0.71)*0.15</t>
  </si>
  <si>
    <t>2*0.71*0.15</t>
  </si>
  <si>
    <t>mặt bậc: 1*(13,2+0,41*2)*0,3</t>
  </si>
  <si>
    <t>cổ bậc: 1*(13,2+0,41*2)*0,15</t>
  </si>
  <si>
    <t>2*(1.5-0.055+0.41)*0.15</t>
  </si>
  <si>
    <t>D1: 2*1,2*2,2</t>
  </si>
  <si>
    <t>2*1.2*0.405</t>
  </si>
  <si>
    <t>D2/LT2: 2*0,9*2,2</t>
  </si>
  <si>
    <t>S1: 6*1,2*1,4</t>
  </si>
  <si>
    <t>S1: 6*1,2*0,405</t>
  </si>
  <si>
    <t>D1: 2*1,2*0,405*12/1000</t>
  </si>
  <si>
    <t>S1: 6*1,2*1,4*12/1000</t>
  </si>
  <si>
    <t>S1: 6*1,2*0,405*12/1000</t>
  </si>
  <si>
    <t>D1: 2*1,2*0,405</t>
  </si>
  <si>
    <t xml:space="preserve">* Từ cos -0.450 đến cos -0.230 </t>
  </si>
  <si>
    <t xml:space="preserve">* Từ cos -0.230 đến cos -0.050 </t>
  </si>
  <si>
    <t xml:space="preserve">DM2 </t>
  </si>
  <si>
    <t>Đào móng công trình, chiều rộng móng ≤6m, bằng máy đào 0,8m3, đất cấp II</t>
  </si>
  <si>
    <t>100m³</t>
  </si>
  <si>
    <t>HoaBinh2022_XD+LD+SC_TT12-2021</t>
  </si>
  <si>
    <t>NC1307</t>
  </si>
  <si>
    <t>Nhân công 3,0/7 - nhóm I</t>
  </si>
  <si>
    <t>công</t>
  </si>
  <si>
    <t>M101.0104</t>
  </si>
  <si>
    <t>Máy đào 0,8m3</t>
  </si>
  <si>
    <t>ca</t>
  </si>
  <si>
    <t>Đơn giá dự thầu</t>
  </si>
  <si>
    <t>Đắp đất công trình bằng máy đầm đất cầm tay 70kg, độ chặt yêu cầu K=0,90</t>
  </si>
  <si>
    <t>M101.0803</t>
  </si>
  <si>
    <t>Máy đầm đất cầm tay 70 kg</t>
  </si>
  <si>
    <t>Đắp đất công trình bằng máy đầm đất cầm tay 70kg, độ chặt yêu cầu K=0,95</t>
  </si>
  <si>
    <t>Vận chuyển đất bằng ôtô tự đổ 5 tấn trong phạm vi ≤1000m, đất cấp II</t>
  </si>
  <si>
    <t>M106.0202</t>
  </si>
  <si>
    <t>Ô tô tự đổ 5 tấn</t>
  </si>
  <si>
    <t>Đắp cát công trình bằng máy đầm đất cầm tay 70kg, độ chặt yêu cầu K=0,90</t>
  </si>
  <si>
    <t>V10119a</t>
  </si>
  <si>
    <t>Cát nền</t>
  </si>
  <si>
    <t>m³</t>
  </si>
  <si>
    <t>M9999</t>
  </si>
  <si>
    <t>%</t>
  </si>
  <si>
    <t>B1212</t>
  </si>
  <si>
    <t>AE.11120</t>
  </si>
  <si>
    <t>Xây móng bằng đá hộc, chiều dày &gt;60cm, vữa XM PCB30 mác 50</t>
  </si>
  <si>
    <t>V10896a</t>
  </si>
  <si>
    <t>Xi măng PCB30</t>
  </si>
  <si>
    <t>kg</t>
  </si>
  <si>
    <t>V10134</t>
  </si>
  <si>
    <t>Cát vàng</t>
  </si>
  <si>
    <t>V10543</t>
  </si>
  <si>
    <t>Nước</t>
  </si>
  <si>
    <t>lít</t>
  </si>
  <si>
    <t>V10333</t>
  </si>
  <si>
    <t>Đá hộc</t>
  </si>
  <si>
    <t>V10323</t>
  </si>
  <si>
    <t>Đá dăm</t>
  </si>
  <si>
    <t>NC2357</t>
  </si>
  <si>
    <t>Nhân công 3,5/7 - nhóm II</t>
  </si>
  <si>
    <t>M104.0202</t>
  </si>
  <si>
    <t>Máy trộn 150 lít</t>
  </si>
  <si>
    <t>AE.11110</t>
  </si>
  <si>
    <t>Xây móng bằng đá hộc, chiều dày ≤60cm, vữa XM PCB30 mác 50</t>
  </si>
  <si>
    <t>Gia công, lắp dựng tháo dỡ ván khuôn cho bê tông đổ tại chỗ, ván khuôn gỗ móng băng, bệ máy</t>
  </si>
  <si>
    <t>100m²</t>
  </si>
  <si>
    <t>V10518</t>
  </si>
  <si>
    <t>Gỗ ván</t>
  </si>
  <si>
    <t>V10507</t>
  </si>
  <si>
    <t>Gỗ đà nẹp</t>
  </si>
  <si>
    <t>V10504</t>
  </si>
  <si>
    <t>Gỗ chống</t>
  </si>
  <si>
    <t>V10364</t>
  </si>
  <si>
    <t>Đinh</t>
  </si>
  <si>
    <t>V19999</t>
  </si>
  <si>
    <t>Gia công, lắp dựng cốt thép móng, đường kính ≤10mm</t>
  </si>
  <si>
    <t>tấn</t>
  </si>
  <si>
    <t>V10928</t>
  </si>
  <si>
    <t>Thép tròn ɸ≤10mm</t>
  </si>
  <si>
    <t>V10285</t>
  </si>
  <si>
    <t>Dây thép</t>
  </si>
  <si>
    <t>M112.2601</t>
  </si>
  <si>
    <t>Máy cắt uốn 5kW</t>
  </si>
  <si>
    <t>Gia công, lắp dựng cốt thép móng, đường kính ≤18mm</t>
  </si>
  <si>
    <t>V10929</t>
  </si>
  <si>
    <t>Thép tròn ɸ≤18mm</t>
  </si>
  <si>
    <t>V10712</t>
  </si>
  <si>
    <t>Que hàn</t>
  </si>
  <si>
    <t>M112.4003</t>
  </si>
  <si>
    <t>Máy hàn 23 kW</t>
  </si>
  <si>
    <t>C3222</t>
  </si>
  <si>
    <t>AF.11210</t>
  </si>
  <si>
    <t>Bê tông đá dăm sản xuất bằng máy trộn, đổ bằng thủ công, bê tông móng rộng ≤250cm đá 1x2, vữa bê tông XM PCB40 mác 200</t>
  </si>
  <si>
    <t>V10898a</t>
  </si>
  <si>
    <t>Xi măng PCB40</t>
  </si>
  <si>
    <t>V10135</t>
  </si>
  <si>
    <t>Cát vàng đổ bê tông</t>
  </si>
  <si>
    <t>V10280</t>
  </si>
  <si>
    <t>Đá 1x2</t>
  </si>
  <si>
    <t>NC2307</t>
  </si>
  <si>
    <t>Nhân công 3,0/7 - nhóm II</t>
  </si>
  <si>
    <t>M104.0102</t>
  </si>
  <si>
    <t>Máy trộn bê tông 250l</t>
  </si>
  <si>
    <t>M112.1301</t>
  </si>
  <si>
    <t>Máy đầm dùi 1,5kW</t>
  </si>
  <si>
    <t>C3221</t>
  </si>
  <si>
    <t>AF.11310</t>
  </si>
  <si>
    <t>Bê tông đá dăm sản xuất bằng máy trộn, đổ bằng thủ công, bê tông nền đá 1x2, vữa bê tông XM PCB40 mác 150</t>
  </si>
  <si>
    <t>M112.1101</t>
  </si>
  <si>
    <t>Máy đầm bàn 1Kw</t>
  </si>
  <si>
    <t>Gia công, lắp dựng tháo dỡ ván khuôn cho bê tông đổ tại chỗ, ván khuôn gỗ xà dầm, giằng</t>
  </si>
  <si>
    <t>Gia công, lắp dựng cốt thép xà dầm, giằng, đường kính ≤10mm, chiều cao ≤6m</t>
  </si>
  <si>
    <t>Gia công, lắp dựng cốt thép xà dầm, giằng, đường kính ≤18mm, chiều cao ≤6m</t>
  </si>
  <si>
    <t>AF.12310</t>
  </si>
  <si>
    <t>Bê tông đá dăm sản xuất bằng máy trộn, đổ bằng thủ công, bê tông xà dầm, giằng nhà chiều cao ≤6m, đá 1x2, vữa bê tông XM PCB40 mác 200</t>
  </si>
  <si>
    <t>Gia công, lắp dựng tháo dỡ ván khuôn cho bê tông đổ tại chỗ, ván khuôn gỗ lanh tô, lanh tô liền mái hắt, máng nước, tấm đan</t>
  </si>
  <si>
    <t>Gia cố, lắp dựng cốt thép lanh tô liền mái hắt, máng nước, đường kính ≤10mm, chiều cao ≤6m</t>
  </si>
  <si>
    <t>Gia cố, lắp dựng cốt thép lanh tô liền mái hắt, máng nước, đường kính &gt;10mm, chiều cao ≤6m</t>
  </si>
  <si>
    <t>V10926</t>
  </si>
  <si>
    <t>Thép tròn ɸ&gt;10mm</t>
  </si>
  <si>
    <t>AF.12510</t>
  </si>
  <si>
    <t>Bê tông đá dăm sản xuất bằng máy trộn, đổ bằng thủ công, bê tông lanh tô, lanh tô liền mái hắt, máng nước, tấm đan, ô văng đá 1x2, vữa bê tông XM PCB40 mác 200</t>
  </si>
  <si>
    <t>M102.0901</t>
  </si>
  <si>
    <t>Máy vận thăng 0,8T</t>
  </si>
  <si>
    <t>B2222</t>
  </si>
  <si>
    <t>AE.33110</t>
  </si>
  <si>
    <t>Xây cột, trụ bằng gạch đất sét nung 5x10x20, chiều cao ≤6m, vữa XM PCB40 mác 50</t>
  </si>
  <si>
    <t>V10130</t>
  </si>
  <si>
    <t>Cát mịn ML = 1,5÷2,0</t>
  </si>
  <si>
    <t>V10451</t>
  </si>
  <si>
    <t>Gạch đất sét nung 5x10x20</t>
  </si>
  <si>
    <t>viên</t>
  </si>
  <si>
    <t>AE.32210</t>
  </si>
  <si>
    <t>Xây tường thẳng bằng gạch đất sét nung 5x10x20, chiều dày ≤30cm, chiều cao ≤6m, vữa XM PCB40 mác 50</t>
  </si>
  <si>
    <t>AE.31110</t>
  </si>
  <si>
    <t>Xây móng bằng gạch đất sét nung 5x10x20, chiều dày ≤30cm, vữa XM PCB40 mác 50</t>
  </si>
  <si>
    <t>V10880</t>
  </si>
  <si>
    <t>Thép hình</t>
  </si>
  <si>
    <t>V10659</t>
  </si>
  <si>
    <t>Ô xy</t>
  </si>
  <si>
    <t>chai</t>
  </si>
  <si>
    <t>V10565</t>
  </si>
  <si>
    <t>Khí gas</t>
  </si>
  <si>
    <t>NC2407</t>
  </si>
  <si>
    <t>Nhân công 4,0/7 - nhóm II</t>
  </si>
  <si>
    <t>V10059</t>
  </si>
  <si>
    <t>Bu lông</t>
  </si>
  <si>
    <t>cái</t>
  </si>
  <si>
    <t>M102.0302</t>
  </si>
  <si>
    <t>Cần cẩu 10 tấn</t>
  </si>
  <si>
    <t>Lợp mái, che tường bằng fibrô xi măng</t>
  </si>
  <si>
    <t>V10386</t>
  </si>
  <si>
    <t>Fibrôximăng (0,92x1,52)m</t>
  </si>
  <si>
    <t>m²</t>
  </si>
  <si>
    <t>V10598</t>
  </si>
  <si>
    <t>Móc sắt đệm</t>
  </si>
  <si>
    <t>B2232</t>
  </si>
  <si>
    <t>AK.21120</t>
  </si>
  <si>
    <t>Trát tường ngoài, chiều dày trát 1,5cm, vữa XM PCB40 mác 50</t>
  </si>
  <si>
    <t>V10129</t>
  </si>
  <si>
    <t>Cát mịn ML = 0,7÷1,4</t>
  </si>
  <si>
    <t>AK.21220</t>
  </si>
  <si>
    <t>Trát tường trong, chiều dày trát 1,5cm, vữa XM PCB40 mác 50</t>
  </si>
  <si>
    <t>B2233</t>
  </si>
  <si>
    <t>AK.22120</t>
  </si>
  <si>
    <t>Trát trụ cột, lam đứng, cầu thang, chiều dày trát 1,5cm, vữa XM PCB40 mác 75</t>
  </si>
  <si>
    <t>AK.23110</t>
  </si>
  <si>
    <t>Trát xà dầm, vữa XM PCB40 mác 50</t>
  </si>
  <si>
    <t>Sơn dầm, trần, cột, tường trong nhà không bả, 1 nước lót + 2 nước phủ bằng sơn các loại</t>
  </si>
  <si>
    <t>V10773</t>
  </si>
  <si>
    <t>Sơn lót nội thất</t>
  </si>
  <si>
    <t>V10789</t>
  </si>
  <si>
    <t>Sơn phủ nội thất</t>
  </si>
  <si>
    <t>Sơn tường ngoài nhà không bả, 1 nước lót + 2 nước phủ bằng sơn các loại</t>
  </si>
  <si>
    <t>V10774</t>
  </si>
  <si>
    <t>Sơn lót ngoại thất</t>
  </si>
  <si>
    <t>V10790</t>
  </si>
  <si>
    <t>Sơn phủ ngoại thất</t>
  </si>
  <si>
    <t>V10871</t>
  </si>
  <si>
    <t>Thép các loại</t>
  </si>
  <si>
    <t>V10335</t>
  </si>
  <si>
    <t>Đá mài</t>
  </si>
  <si>
    <t>M112.3703</t>
  </si>
  <si>
    <t>Máy mài 2,7kW</t>
  </si>
  <si>
    <t>B2213</t>
  </si>
  <si>
    <t>V10019</t>
  </si>
  <si>
    <t>Bật sắt d=10mm</t>
  </si>
  <si>
    <t>hộp</t>
  </si>
  <si>
    <t>V31179</t>
  </si>
  <si>
    <t>Hộp nối, hộp phân dây, hộp công tắc, hộp cầu chì, hộp automat ≤225cm2</t>
  </si>
  <si>
    <t>M112.1701</t>
  </si>
  <si>
    <t>Máy khoan bê tông cầm tay 0,62kW</t>
  </si>
  <si>
    <t>V30013</t>
  </si>
  <si>
    <t>Automat 3 pha ≤50A</t>
  </si>
  <si>
    <t>V30007</t>
  </si>
  <si>
    <t>Automat 1 pha ≤50A</t>
  </si>
  <si>
    <t>V30004</t>
  </si>
  <si>
    <t>Automat 1 pha ≤10A</t>
  </si>
  <si>
    <t>bộ</t>
  </si>
  <si>
    <t>V31184</t>
  </si>
  <si>
    <t>Hộp và 1 bóng đèn 1,2m</t>
  </si>
  <si>
    <t>V31071</t>
  </si>
  <si>
    <t>Đèn sát trần có chụp</t>
  </si>
  <si>
    <t>V30984</t>
  </si>
  <si>
    <t>Chao chụp</t>
  </si>
  <si>
    <t>V30610</t>
  </si>
  <si>
    <t>Công tắc 2 hạt</t>
  </si>
  <si>
    <t>V30611</t>
  </si>
  <si>
    <t>Công tắc 3 hạt</t>
  </si>
  <si>
    <t>V30612</t>
  </si>
  <si>
    <t>Công tắc 4 hạt</t>
  </si>
  <si>
    <t>V31427</t>
  </si>
  <si>
    <t>Ổ cắm đôi</t>
  </si>
  <si>
    <t>m</t>
  </si>
  <si>
    <t>V31012</t>
  </si>
  <si>
    <t>Dây dẫn điện 2 ruột ≤4mm2</t>
  </si>
  <si>
    <t>V31014</t>
  </si>
  <si>
    <t>Dây dẫn điện đơn ≤6mm2</t>
  </si>
  <si>
    <t>V31008</t>
  </si>
  <si>
    <t>Dây dẫn điện đơn ≤2,5mm2</t>
  </si>
  <si>
    <t>V31571</t>
  </si>
  <si>
    <t>Ống nhựa đường kính ≤27mm</t>
  </si>
  <si>
    <t>Nối giá vật liệu sang bảng dự toán</t>
  </si>
  <si>
    <t>Nối giá nhân công sang bảng dự toán</t>
  </si>
  <si>
    <t>Nối giá máy thi công sang bảng dự toán</t>
  </si>
  <si>
    <t>Sử dụng đơn giá từ bảng đơn giá chi tiết</t>
  </si>
  <si>
    <t xml:space="preserve">* Tầng 1 </t>
  </si>
  <si>
    <t xml:space="preserve">- Trục 1.5 </t>
  </si>
  <si>
    <t>B1222</t>
  </si>
  <si>
    <t>AK.51240a</t>
  </si>
  <si>
    <t>AK.51242A</t>
  </si>
  <si>
    <t>Lát nền, sàn gạch tiết diện ≤ 0,09 m2, vữa XM PCB30 mác 50</t>
  </si>
  <si>
    <t>V10458</t>
  </si>
  <si>
    <t>Gạch lát tiết diện ≤ 0,09 m2</t>
  </si>
  <si>
    <t>V10983</t>
  </si>
  <si>
    <t>Xi măng trắng</t>
  </si>
  <si>
    <t>M112.2102</t>
  </si>
  <si>
    <t>Máy cắt gạch 1,7kW</t>
  </si>
  <si>
    <t xml:space="preserve">- Bậc 1: </t>
  </si>
  <si>
    <t xml:space="preserve">- Bậc 2: </t>
  </si>
  <si>
    <t>B1223</t>
  </si>
  <si>
    <t>AK.53113A</t>
  </si>
  <si>
    <t>Lát gạch granít nhân tạo bậc tam cấp, vữa XM PCB30 mác 75</t>
  </si>
  <si>
    <t>V10453</t>
  </si>
  <si>
    <t>Gạch granit nhân tạo</t>
  </si>
  <si>
    <t>C:\Du toan GXD\Dulieu\SVDT\SVDT_510_2022.mdb</t>
  </si>
  <si>
    <t>C:\Du toan GXD\Dulieu</t>
  </si>
  <si>
    <t>C:\Du toan GXD\Dulieu\HoaBinh\GVT\GVT_T4_2024_HOABINH.csv</t>
  </si>
  <si>
    <t>C:\Du toan GXD\Dulieu\HoaBinh\GCM\GCM_QD168_30.10.2023_HoaBinh_TT13.mdb</t>
  </si>
  <si>
    <t>C:\Du toan GXD\Dulieu\HoaBinh\GNC\GXD_QD153_4.10.2023_HoaBinh_TT13.mdb</t>
  </si>
  <si>
    <t>C:\Du toan GXD\Dulieu\HoaBinh\HoaBinh2022_XD+LD+SC_TT12-2021.mdb</t>
  </si>
  <si>
    <t>AK.5124</t>
  </si>
  <si>
    <t>BẢNG GIÁ VẬT TƯ</t>
  </si>
  <si>
    <t>Đơn giá XD, LD, SC theo quyết định số 981/QĐ-UBND ngày 23/5/2022 của UBND tỉnh Hòa Bình</t>
  </si>
  <si>
    <t>HẠNG MỤC: PHẦN MÓNG</t>
  </si>
  <si>
    <t>1,45</t>
  </si>
  <si>
    <t>1,6</t>
  </si>
  <si>
    <t>1,5</t>
  </si>
  <si>
    <t>,001</t>
  </si>
  <si>
    <t>,67</t>
  </si>
  <si>
    <t>HẠNG MỤC: PHẦN THÂN</t>
  </si>
  <si>
    <t>HẠNG MỤC: CÔNG TÁC XÂY</t>
  </si>
  <si>
    <t>1,38</t>
  </si>
  <si>
    <t>HẠNG MỤC: HỆ KÉT CẤU MÁI</t>
  </si>
  <si>
    <t>HẠNG MỤC: PHẦN HOÀN THIỆN</t>
  </si>
  <si>
    <t>1,31</t>
  </si>
  <si>
    <t>HẠNG MỤC: HỆ CỬA</t>
  </si>
  <si>
    <t>HẠNG MỤC: PHẦN ĐIỆN</t>
  </si>
  <si>
    <t>Đơn giá nhân công xây dựng công bố theo quyết định số 153/QĐ-SXD ngày 04/10/2023 của Sở Xây dựng tỉnh Hòa Bình</t>
  </si>
  <si>
    <t>3</t>
  </si>
  <si>
    <t>3.5</t>
  </si>
  <si>
    <t>4</t>
  </si>
  <si>
    <t>- Bảng giá ca máy công bố theo quyết định số 34/QĐ-SXD ngày 29/3/2022 của Sở Xây dựng tỉnh Hòa Bình</t>
  </si>
  <si>
    <t>Máy đầm đất cầm tay - trọng lượng 70 kg</t>
  </si>
  <si>
    <t>lít xăng</t>
  </si>
  <si>
    <t>1x3/7</t>
  </si>
  <si>
    <t>NC4307</t>
  </si>
  <si>
    <t>Nhân công bậc 3,0/7 - Nhóm IV</t>
  </si>
  <si>
    <t>Máy đào một gàu, bánh xích - dung tích gầu 0,80 m3</t>
  </si>
  <si>
    <t>lít diezel</t>
  </si>
  <si>
    <t>1x4/7</t>
  </si>
  <si>
    <t>NC4407</t>
  </si>
  <si>
    <t>Nhân công bậc 4,0/7 - Nhóm IV</t>
  </si>
  <si>
    <t>Ô tô tự đổ, trọng tải 5,0 T</t>
  </si>
  <si>
    <t>1x2/4 lái xe</t>
  </si>
  <si>
    <t>NLX092</t>
  </si>
  <si>
    <t>Lái xe 2/4</t>
  </si>
  <si>
    <t>2</t>
  </si>
  <si>
    <t>Máy cắt uốn cốt thép, công suất 5,0 kW</t>
  </si>
  <si>
    <t>kWh</t>
  </si>
  <si>
    <t>Máy đầm bê tông, đầm bàn, công suất 1,0 kW</t>
  </si>
  <si>
    <t>Máy đầm bê tông, đầm dùi, công suất 1,5 kW</t>
  </si>
  <si>
    <t>Máy hàn xoay chiều công suất 23,0 kW</t>
  </si>
  <si>
    <t>Máy trộn vữa - dung tích 150 lít</t>
  </si>
  <si>
    <t>Máy trộn bê tông - dung tích 250 lít</t>
  </si>
  <si>
    <t>Máy vận thăng - sức nâng 0,8T</t>
  </si>
  <si>
    <t>Cần cẩu bánh xích - sức nâng 10 T</t>
  </si>
  <si>
    <t>1x4/7+1x5/7</t>
  </si>
  <si>
    <t>NC4507</t>
  </si>
  <si>
    <t>Nhân công bậc 5,0/7 - Nhóm IV</t>
  </si>
  <si>
    <t>5</t>
  </si>
  <si>
    <t>Máy cắt gạch đá, công suất 1,7 kW</t>
  </si>
  <si>
    <t>Máy mài, công suất 2,7 kW</t>
  </si>
  <si>
    <t>Máy khoan bê tông cầm tay, công suất 0,62 kW</t>
  </si>
  <si>
    <t>ĐIỀU CHỈNH, BỔ SUNG, ĐƠN GIÁ XÂY DỰNG CỦA MỘT SỐ LOẠI CÔNG TRÌNH ĐỂ XÁC ĐỊNH GIÁ TRỊ BỒI
THƯỜNG ĐỐI VỚI NHÀ Ở, CÔNG TRÌNH PHẢI THÁO DỠ KHI NHÀ NƯỚC THU HỒI ĐẤT TRÊN ĐỊA BÀN TỈNH SƠN LA</t>
  </si>
  <si>
    <t>NHÀ 01 TẦNG, TƯỜNG CHỊU LỰC 110MM, MÁI LỢP FIBRÔXIMĂNG, KHÔNG CÓ KHU VỆ SINH KHÉP KÍN</t>
  </si>
  <si>
    <t>MẪU NO-01-110-2-TCL</t>
  </si>
  <si>
    <t>trục C: 1*(13,2+0,11)*0,11*(3,9-0,22)</t>
  </si>
  <si>
    <t>Tủ điện loại âm tường 10 module</t>
  </si>
  <si>
    <t>Aptomat MCB-2P-40A-15kA</t>
  </si>
  <si>
    <t>Aptomat MCB-1P-32A-6kA</t>
  </si>
  <si>
    <t>Aptomat MCB-1P-16A-6kA</t>
  </si>
  <si>
    <t>Aptomat MCB-1P-10A-6kA</t>
  </si>
  <si>
    <t>Đèn tuýp led 1,2m</t>
  </si>
  <si>
    <t>Đèn led ốp trần 16W</t>
  </si>
  <si>
    <t>Công tắc một chiều 2 phím 250V/10A loại âm tường</t>
  </si>
  <si>
    <t>Công tắc một chiều 3 phím 250V/10A loại âm tường</t>
  </si>
  <si>
    <t>Công tắc một chiều 4 phím 250V/10A loại âm tường</t>
  </si>
  <si>
    <t>Ổ cắm đôi 3 chấu 250V/16A có cực tiếp đất loại âm tường</t>
  </si>
  <si>
    <t>Dây CU/PVC/PVC (2x4)mm2</t>
  </si>
  <si>
    <t>Dây tiếp địa CU/PVC(1x4)mm2</t>
  </si>
  <si>
    <t>Dây CU/PVC (1x2,5)mm2</t>
  </si>
  <si>
    <t>Dây CU/PVC (1x1,5)mm2</t>
  </si>
  <si>
    <t>Dây tiếp địa CU/PVC(1x2,5)mm2</t>
  </si>
  <si>
    <t>Ống PVC D20</t>
  </si>
  <si>
    <t>N08307</t>
  </si>
  <si>
    <t>Nhân công bậc 3,0/7 - Nhóm 8</t>
  </si>
  <si>
    <t>N08407</t>
  </si>
  <si>
    <t>Nhân công bậc 4,0/7 - Nhóm 8</t>
  </si>
  <si>
    <t>N08507</t>
  </si>
  <si>
    <t>Nhân công bậc 5,0/7 - Nhóm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</si>
</sst>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9">
    <numFmt numFmtId="164" formatCode="_(* #,##0.00_);_(* \(#,##0.00\);_(* &quot;-&quot;??_);_(@_)"/>
    <numFmt numFmtId="165" formatCode="&quot;₫&quot;#,##0.00_);[Red]\(&quot;₫&quot;#,##0.00\)"/>
    <numFmt numFmtId="166" formatCode="#,##0.000"/>
    <numFmt numFmtId="167" formatCode="#,##0.0"/>
    <numFmt numFmtId="168" formatCode="dd"/>
    <numFmt numFmtId="169" formatCode="mm"/>
    <numFmt numFmtId="170" formatCode="yyyy"/>
    <numFmt numFmtId="171" formatCode="#,##0&quot;®&quot;;\-#,##0&quot;®&quot;"/>
    <numFmt numFmtId="172" formatCode=";;;"/>
    <numFmt numFmtId="173" formatCode="0.0%"/>
    <numFmt numFmtId="174" formatCode="0,000&quot; đ/tháng&quot;"/>
    <numFmt numFmtId="175" formatCode="0.000%"/>
    <numFmt numFmtId="176" formatCode="#,##0&quot; đồng&quot;"/>
    <numFmt numFmtId="177" formatCode="0,000"/>
    <numFmt numFmtId="178" formatCode="0.000"/>
    <numFmt numFmtId="179" formatCode="#,###"/>
    <numFmt numFmtId="180" formatCode="0.0000%"/>
    <numFmt numFmtId="181" formatCode="0\ &quot;CK&quot;"/>
    <numFmt numFmtId="182" formatCode="&quot; &gt;&quot;0&quot;mm&quot;"/>
    <numFmt numFmtId="183" formatCode="&quot;≤&quot;0&quot;mm&quot;"/>
    <numFmt numFmtId="184" formatCode="#,##0\ _₫"/>
    <numFmt numFmtId="185" formatCode="0&quot;%&quot;"/>
    <numFmt numFmtId="186" formatCode="&quot;&gt;&quot;\ 0"/>
    <numFmt numFmtId="187" formatCode="&quot;≤&quot;\ 0"/>
    <numFmt numFmtId="188" formatCode="[$-1010000]d/m/yyyy;@"/>
    <numFmt numFmtId="189" formatCode="0.000&quot;%&quot;"/>
    <numFmt numFmtId="190" formatCode="#,##0\ &quot;đồng&quot;"/>
    <numFmt numFmtId="191" formatCode="&quot;≤&quot;0"/>
    <numFmt numFmtId="192" formatCode="_(* #,##0_);_(* \(#,##0\);_(* &quot;-&quot;??_);_(@_)"/>
    <numFmt numFmtId="193" formatCode="&quot;≥&quot;\ 0"/>
    <numFmt numFmtId="194" formatCode="&quot;≥&quot;#,##0"/>
    <numFmt numFmtId="195" formatCode="&quot;≤&quot;#,##0"/>
    <numFmt numFmtId="196" formatCode="0&quot; máy&quot;"/>
    <numFmt numFmtId="197" formatCode="0,000&quot; đ/ca&quot;"/>
    <numFmt numFmtId="198" formatCode="#,##0\ &quot;ca&quot;"/>
    <numFmt numFmtId="199" formatCode="0&quot; gram&quot;"/>
    <numFmt numFmtId="200" formatCode="0,000&quot; đ/gram&quot;"/>
    <numFmt numFmtId="201" formatCode="0,000&quot; đ/hộp&quot;"/>
    <numFmt numFmtId="202" formatCode="0&quot; hộp&quot;"/>
    <numFmt numFmtId="203" formatCode="0&quot; tháng&quot;"/>
    <numFmt numFmtId="204" formatCode="0&quot; chuyến&quot;"/>
    <numFmt numFmtId="205" formatCode="0&quot; xe&quot;"/>
    <numFmt numFmtId="206" formatCode="0,000&quot; đ/xe&quot;"/>
    <numFmt numFmtId="207" formatCode="0&quot; lần&quot;"/>
    <numFmt numFmtId="208" formatCode="0&quot; người&quot;"/>
    <numFmt numFmtId="209" formatCode="0,000&quot; đ/lần&quot;"/>
    <numFmt numFmtId="210" formatCode="0,000&quot; đ/người&quot;"/>
    <numFmt numFmtId="211" formatCode="0.0"/>
    <numFmt numFmtId="212" formatCode="_-* #,##0\ _₫_-;\-* #,##0\ _₫_-;_-* &quot;-&quot;??\ _₫_-;_-@_-"/>
    <numFmt numFmtId="213" formatCode="0.0000"/>
    <numFmt numFmtId="214" formatCode="&quot;Không vượt quá&quot;\ #,##0"/>
    <numFmt numFmtId="215" formatCode="#,##0.0000"/>
    <numFmt numFmtId="216" formatCode="_(* #,##0.00_);_(* \(#,##0.00\);_(* &quot;-&quot;_);_(@_)"/>
    <numFmt numFmtId="217" formatCode="_(* #,##0_);_(* \(#,##0\);_(* &quot;-&quot;_);_(@_)"/>
    <numFmt numFmtId="218" formatCode="_(* #,##0.000_);_(* \(#,##0.000\);_(* &quot;-&quot;??_);_(@_)"/>
    <numFmt numFmtId="219" formatCode="&quot;&lt;&quot;#,##0"/>
    <numFmt numFmtId="220" formatCode="&quot;&gt;&quot;#,##0"/>
    <numFmt numFmtId="221" formatCode="0.000&quot; tỷ đồng&quot;"/>
    <numFmt numFmtId="222" formatCode="&quot;≤&quot;#,##0.0"/>
  </numFmts>
  <fonts count="259">
    <font>
      <sz val="11"/>
      <color theme="1"/>
      <name val="Calibri"/>
      <family val="2"/>
      <scheme val="minor"/>
    </font>
    <font>
      <b/>
      <sz val="11"/>
      <color indexed="8"/>
      <name val="Arial"/>
      <family val="2"/>
      <charset val="163"/>
    </font>
    <font>
      <sz val="12"/>
      <color indexed="8"/>
      <name val="Times New Roman"/>
      <family val="1"/>
      <charset val="163"/>
    </font>
    <font>
      <sz val="12"/>
      <name val=".VnTime"/>
      <family val="2"/>
    </font>
    <font>
      <sz val="12"/>
      <name val="Times New Roman"/>
      <family val="1"/>
    </font>
    <font>
      <b/>
      <sz val="18"/>
      <name val="Times New Roman"/>
      <family val="1"/>
      <charset val="163"/>
    </font>
    <font>
      <b/>
      <sz val="10"/>
      <color indexed="9"/>
      <name val="Arial"/>
      <family val="2"/>
      <charset val="163"/>
    </font>
    <font>
      <sz val="14"/>
      <name val="Times New Roman"/>
      <family val="1"/>
    </font>
    <font>
      <b/>
      <sz val="14"/>
      <name val="Times New Roman"/>
      <family val="1"/>
    </font>
    <font>
      <b/>
      <sz val="12"/>
      <name val="Times New Roman"/>
      <family val="1"/>
    </font>
    <font>
      <sz val="14"/>
      <color indexed="12"/>
      <name val=".VnTime"/>
      <family val="2"/>
    </font>
    <font>
      <b/>
      <sz val="24"/>
      <name val="Verdana"/>
      <family val="2"/>
    </font>
    <font>
      <b/>
      <sz val="20"/>
      <name val="Times New Roman"/>
      <family val="1"/>
    </font>
    <font>
      <b/>
      <sz val="10"/>
      <name val="Times New Roman"/>
      <family val="1"/>
    </font>
    <font>
      <i/>
      <sz val="12"/>
      <name val="Times New Roman"/>
      <family val="1"/>
    </font>
    <font>
      <b/>
      <i/>
      <sz val="14"/>
      <name val="Times New Roman"/>
      <family val="1"/>
    </font>
    <font>
      <b/>
      <i/>
      <sz val="12"/>
      <name val="Times New Roman"/>
      <family val="1"/>
    </font>
    <font>
      <b/>
      <sz val="12"/>
      <color indexed="60"/>
      <name val="Times New Roman"/>
      <family val="1"/>
    </font>
    <font>
      <sz val="13"/>
      <name val="Times New Roman"/>
      <family val="1"/>
    </font>
    <font>
      <b/>
      <sz val="16"/>
      <color indexed="16"/>
      <name val="Verdana"/>
      <family val="2"/>
    </font>
    <font>
      <b/>
      <sz val="12"/>
      <color indexed="12"/>
      <name val="Times New Roman"/>
      <family val="1"/>
    </font>
    <font>
      <b/>
      <sz val="13"/>
      <name val="Times New Roman"/>
      <family val="1"/>
    </font>
    <font>
      <b/>
      <u/>
      <sz val="12"/>
      <name val="Times New Roman"/>
      <family val="1"/>
    </font>
    <font>
      <b/>
      <sz val="12"/>
      <color indexed="10"/>
      <name val="Times New Roman"/>
      <family val="1"/>
    </font>
    <font>
      <b/>
      <sz val="18"/>
      <name val="Times New Roman"/>
      <family val="1"/>
    </font>
    <font>
      <sz val="12"/>
      <color indexed="9"/>
      <name val="Times New Roman"/>
      <family val="1"/>
    </font>
    <font>
      <b/>
      <sz val="12"/>
      <name val="Verdana"/>
      <family val="2"/>
    </font>
    <font>
      <b/>
      <sz val="12"/>
      <color indexed="16"/>
      <name val="Times New Roman"/>
      <family val="1"/>
    </font>
    <font>
      <sz val="11"/>
      <name val="Times New Roman"/>
      <family val="1"/>
      <charset val="163"/>
    </font>
    <font>
      <sz val="11"/>
      <name val="Times New Roman"/>
      <family val="1"/>
    </font>
    <font>
      <sz val="12"/>
      <name val="Times New Roman"/>
      <family val="1"/>
      <charset val="163"/>
    </font>
    <font>
      <i/>
      <sz val="11"/>
      <name val="Times New Roman"/>
      <family val="1"/>
    </font>
    <font>
      <sz val="10"/>
      <name val="Times New Roman"/>
      <family val="1"/>
    </font>
    <font>
      <sz val="14"/>
      <color indexed="12"/>
      <name val="Times New Roman"/>
      <family val="1"/>
    </font>
    <font>
      <b/>
      <sz val="9"/>
      <color indexed="9"/>
      <name val="Arial"/>
      <family val="2"/>
    </font>
    <font>
      <b/>
      <sz val="9"/>
      <name val="Arial"/>
      <family val="2"/>
    </font>
    <font>
      <b/>
      <sz val="12"/>
      <color indexed="8"/>
      <name val="Times New Roman"/>
      <family val="1"/>
    </font>
    <font>
      <sz val="12"/>
      <color indexed="8"/>
      <name val="Times New Roman"/>
      <family val="1"/>
    </font>
    <font>
      <b/>
      <sz val="12"/>
      <color indexed="9"/>
      <name val="Times New Roman"/>
      <family val="1"/>
    </font>
    <font>
      <sz val="16"/>
      <name val="Times New Roman"/>
      <family val="1"/>
    </font>
    <font>
      <b/>
      <sz val="12"/>
      <name val="Times New Roman"/>
      <family val="1"/>
      <charset val="163"/>
    </font>
    <font>
      <i/>
      <sz val="12"/>
      <name val="Times New Roman"/>
      <family val="1"/>
      <charset val="163"/>
    </font>
    <font>
      <b/>
      <sz val="11"/>
      <name val="Times New Roman"/>
      <family val="1"/>
      <charset val="163"/>
    </font>
    <font>
      <i/>
      <sz val="10"/>
      <name val="Times New Roman"/>
      <family val="1"/>
    </font>
    <font>
      <b/>
      <sz val="11"/>
      <name val="Times New Roman"/>
      <family val="1"/>
    </font>
    <font>
      <b/>
      <i/>
      <sz val="12"/>
      <color indexed="8"/>
      <name val="Times New Roman"/>
      <family val="1"/>
    </font>
    <font>
      <sz val="11"/>
      <color indexed="8"/>
      <name val="Times New Roman"/>
      <family val="1"/>
    </font>
    <font>
      <b/>
      <sz val="9"/>
      <name val="Arial"/>
      <family val="2"/>
      <charset val="163"/>
    </font>
    <font>
      <sz val="9"/>
      <name val="Arial"/>
      <family val="2"/>
      <charset val="163"/>
    </font>
    <font>
      <b/>
      <sz val="16"/>
      <name val="Times New Roman"/>
      <family val="1"/>
    </font>
    <font>
      <b/>
      <sz val="10"/>
      <name val="Arial"/>
      <family val="2"/>
    </font>
    <font>
      <b/>
      <sz val="16"/>
      <name val="Verdana"/>
      <family val="2"/>
    </font>
    <font>
      <b/>
      <sz val="14"/>
      <name val="Arial"/>
      <family val="2"/>
    </font>
    <font>
      <sz val="14"/>
      <name val="Arial"/>
      <family val="2"/>
    </font>
    <font>
      <b/>
      <sz val="14"/>
      <color indexed="12"/>
      <name val="Arial"/>
      <family val="2"/>
    </font>
    <font>
      <b/>
      <i/>
      <sz val="14"/>
      <name val="Arial"/>
      <family val="2"/>
    </font>
    <font>
      <b/>
      <sz val="14"/>
      <color indexed="12"/>
      <name val="Times New Roman"/>
      <family val="1"/>
    </font>
    <font>
      <b/>
      <sz val="9"/>
      <name val="Times New Roman"/>
      <family val="1"/>
    </font>
    <font>
      <b/>
      <sz val="9"/>
      <color indexed="16"/>
      <name val="Times New Roman"/>
      <family val="1"/>
    </font>
    <font>
      <b/>
      <sz val="9"/>
      <color indexed="8"/>
      <name val="Times New Roman"/>
      <family val="1"/>
    </font>
    <font>
      <sz val="8"/>
      <name val="Arial"/>
      <family val="2"/>
      <charset val="163"/>
    </font>
    <font>
      <b/>
      <i/>
      <sz val="12"/>
      <name val="Times New Roman"/>
      <family val="1"/>
      <charset val="163"/>
    </font>
    <font>
      <vertAlign val="subscript"/>
      <sz val="12"/>
      <name val="Times New Roman"/>
      <family val="1"/>
    </font>
    <font>
      <b/>
      <sz val="9"/>
      <color indexed="81"/>
      <name val="Tahoma"/>
      <family val="2"/>
      <charset val="163"/>
    </font>
    <font>
      <sz val="12"/>
      <color indexed="8"/>
      <name val="Times New Roman"/>
      <family val="1"/>
      <charset val="163"/>
    </font>
    <font>
      <sz val="12"/>
      <name val="Times New Roman"/>
      <family val="1"/>
    </font>
    <font>
      <b/>
      <sz val="9"/>
      <color indexed="10"/>
      <name val="Arial"/>
      <family val="2"/>
    </font>
    <font>
      <b/>
      <vertAlign val="subscript"/>
      <sz val="9"/>
      <color indexed="10"/>
      <name val="Arial"/>
      <family val="2"/>
    </font>
    <font>
      <sz val="11"/>
      <name val="Cambria"/>
      <family val="1"/>
    </font>
    <font>
      <b/>
      <sz val="11"/>
      <name val="Arial"/>
      <family val="2"/>
    </font>
    <font>
      <sz val="11"/>
      <name val="Arial"/>
      <family val="2"/>
    </font>
    <font>
      <b/>
      <sz val="11"/>
      <color indexed="12"/>
      <name val="Arial"/>
      <family val="2"/>
    </font>
    <font>
      <b/>
      <i/>
      <sz val="11"/>
      <name val="Arial"/>
      <family val="2"/>
    </font>
    <font>
      <b/>
      <vertAlign val="subscript"/>
      <sz val="12"/>
      <name val="Times New Roman"/>
      <family val="1"/>
    </font>
    <font>
      <b/>
      <sz val="8"/>
      <name val="Arial"/>
      <family val="2"/>
      <charset val="163"/>
    </font>
    <font>
      <sz val="10"/>
      <name val="Arial"/>
      <family val="2"/>
    </font>
    <font>
      <b/>
      <sz val="12"/>
      <name val="Arial"/>
      <family val="2"/>
    </font>
    <font>
      <b/>
      <sz val="16"/>
      <color indexed="60"/>
      <name val="Verdana"/>
      <family val="2"/>
    </font>
    <font>
      <sz val="12"/>
      <name val="Verdana"/>
      <family val="2"/>
    </font>
    <font>
      <b/>
      <sz val="9"/>
      <color indexed="81"/>
      <name val="Tahoma"/>
      <family val="2"/>
    </font>
    <font>
      <b/>
      <sz val="18"/>
      <color indexed="12"/>
      <name val="Times New Roman"/>
      <family val="1"/>
    </font>
    <font>
      <b/>
      <sz val="16"/>
      <color indexed="12"/>
      <name val="Times New Roman"/>
      <family val="1"/>
    </font>
    <font>
      <sz val="12"/>
      <color indexed="8"/>
      <name val="Times New Roman"/>
      <family val="1"/>
      <charset val="163"/>
    </font>
    <font>
      <sz val="12"/>
      <color indexed="12"/>
      <name val="Times New Roman"/>
      <family val="1"/>
    </font>
    <font>
      <b/>
      <sz val="14"/>
      <name val="Cambria"/>
      <family val="1"/>
    </font>
    <font>
      <sz val="11"/>
      <color indexed="12"/>
      <name val="Calibri"/>
      <family val="2"/>
      <charset val="163"/>
    </font>
    <font>
      <b/>
      <sz val="9"/>
      <color indexed="10"/>
      <name val="Arial"/>
      <family val="2"/>
    </font>
    <font>
      <b/>
      <sz val="9"/>
      <color indexed="12"/>
      <name val="Arial"/>
      <family val="2"/>
    </font>
    <font>
      <sz val="8"/>
      <name val="Calibri"/>
      <family val="2"/>
      <charset val="163"/>
    </font>
    <font>
      <sz val="9"/>
      <color indexed="81"/>
      <name val="Tahoma"/>
      <family val="2"/>
    </font>
    <font>
      <b/>
      <sz val="14"/>
      <name val=".VnTimeH"/>
      <family val="2"/>
    </font>
    <font>
      <b/>
      <sz val="12"/>
      <name val=".VnTimeH"/>
      <family val="2"/>
    </font>
    <font>
      <b/>
      <sz val="18"/>
      <name val="Arial"/>
      <family val="2"/>
    </font>
    <font>
      <sz val="18"/>
      <name val="Times New Roman"/>
      <family val="1"/>
    </font>
    <font>
      <b/>
      <vertAlign val="subscript"/>
      <sz val="12"/>
      <color indexed="10"/>
      <name val="Times New Roman"/>
      <family val="1"/>
    </font>
    <font>
      <b/>
      <vertAlign val="subscript"/>
      <sz val="10"/>
      <color indexed="9"/>
      <name val="Arial"/>
      <family val="2"/>
    </font>
    <font>
      <b/>
      <sz val="11"/>
      <color indexed="9"/>
      <name val="Arial"/>
      <family val="2"/>
      <charset val="163"/>
    </font>
    <font>
      <b/>
      <sz val="14"/>
      <color indexed="8"/>
      <name val="Times New Roman"/>
      <family val="1"/>
    </font>
    <font>
      <b/>
      <sz val="14"/>
      <color indexed="16"/>
      <name val="Times New Roman"/>
      <family val="1"/>
    </font>
    <font>
      <vertAlign val="subscript"/>
      <sz val="14"/>
      <name val="Times New Roman"/>
      <family val="1"/>
    </font>
    <font>
      <i/>
      <sz val="14"/>
      <name val="Times New Roman"/>
      <family val="1"/>
    </font>
    <font>
      <i/>
      <sz val="12"/>
      <color indexed="8"/>
      <name val="Times New Roman"/>
      <family val="1"/>
    </font>
    <font>
      <b/>
      <sz val="8"/>
      <name val="Times New Roman"/>
      <family val="1"/>
    </font>
    <font>
      <vertAlign val="subscript"/>
      <sz val="11"/>
      <name val="Times New Roman"/>
      <family val="1"/>
    </font>
    <font>
      <b/>
      <vertAlign val="superscript"/>
      <sz val="12"/>
      <name val="Times New Roman"/>
      <family val="1"/>
    </font>
    <font>
      <b/>
      <sz val="9"/>
      <color indexed="9"/>
      <name val="Times New Roman"/>
      <family val="1"/>
    </font>
    <font>
      <b/>
      <sz val="10"/>
      <color indexed="9"/>
      <name val="Times New Roman"/>
      <family val="1"/>
    </font>
    <font>
      <b/>
      <sz val="11"/>
      <name val="Arial"/>
      <family val="2"/>
      <charset val="163"/>
    </font>
    <font>
      <sz val="12"/>
      <color theme="1"/>
      <name val="Times New Roman"/>
      <family val="1"/>
    </font>
    <font>
      <b/>
      <sz val="12"/>
      <color rgb="FFFF0000"/>
      <name val="Times New Roman"/>
      <family val="1"/>
    </font>
    <font>
      <b/>
      <sz val="14"/>
      <color theme="1"/>
      <name val="Times New Roman"/>
      <family val="1"/>
    </font>
    <font>
      <b/>
      <sz val="12"/>
      <color theme="1"/>
      <name val="Times New Roman"/>
      <family val="1"/>
    </font>
    <font>
      <sz val="13"/>
      <color theme="1"/>
      <name val="Times New Roman"/>
      <family val="1"/>
    </font>
    <font>
      <sz val="12"/>
      <color rgb="FFFF0000"/>
      <name val="Times New Roman"/>
      <family val="1"/>
    </font>
    <font>
      <sz val="14"/>
      <color rgb="FFFF0000"/>
      <name val="Times New Roman"/>
      <family val="1"/>
    </font>
    <font>
      <sz val="14"/>
      <color theme="1"/>
      <name val="Times New Roman"/>
      <family val="1"/>
    </font>
    <font>
      <sz val="11"/>
      <color theme="1"/>
      <name val="Times New Roman"/>
      <family val="1"/>
    </font>
    <font>
      <b/>
      <sz val="11"/>
      <color theme="1"/>
      <name val="Times New Roman"/>
      <family val="1"/>
    </font>
    <font>
      <sz val="12"/>
      <color theme="1" tint="0.24994659260841701"/>
      <name val="Times New Roman"/>
      <family val="1"/>
    </font>
    <font>
      <b/>
      <sz val="12"/>
      <color theme="7"/>
      <name val="Times New Roman"/>
      <family val="1"/>
    </font>
    <font>
      <b/>
      <sz val="12"/>
      <color theme="1" tint="0.499984740745262"/>
      <name val="Times New Roman"/>
      <family val="1"/>
    </font>
    <font>
      <b/>
      <sz val="12"/>
      <color theme="1" tint="0.24994659260841701"/>
      <name val="Times New Roman"/>
      <family val="1"/>
    </font>
    <font>
      <b/>
      <sz val="18"/>
      <color rgb="FF00B0F0"/>
      <name val="Arial"/>
      <family val="2"/>
    </font>
    <font>
      <b/>
      <sz val="18"/>
      <color rgb="FF0000FF"/>
      <name val="Times New Roman"/>
      <family val="1"/>
    </font>
    <font>
      <b/>
      <sz val="16"/>
      <color rgb="FF0000FF"/>
      <name val="Times New Roman"/>
      <family val="1"/>
    </font>
    <font>
      <b/>
      <sz val="18"/>
      <color rgb="FF0000FF"/>
      <name val="Times New Roman"/>
      <family val="1"/>
      <charset val="163"/>
    </font>
    <font>
      <sz val="10"/>
      <name val="Calibri"/>
      <family val="2"/>
      <charset val="163"/>
      <scheme val="minor"/>
    </font>
    <font>
      <b/>
      <i/>
      <sz val="12"/>
      <color theme="1"/>
      <name val="Times New Roman"/>
      <family val="1"/>
    </font>
    <font>
      <b/>
      <sz val="13"/>
      <color theme="1"/>
      <name val="Times New Roman"/>
      <family val="1"/>
    </font>
    <font>
      <b/>
      <i/>
      <sz val="13"/>
      <color theme="1"/>
      <name val="Times New Roman"/>
      <family val="1"/>
    </font>
    <font>
      <i/>
      <sz val="13"/>
      <color theme="1"/>
      <name val="Times New Roman"/>
      <family val="1"/>
    </font>
    <font>
      <i/>
      <sz val="12"/>
      <color theme="1"/>
      <name val="Times New Roman"/>
      <family val="1"/>
    </font>
    <font>
      <b/>
      <sz val="13"/>
      <color rgb="FFC00000"/>
      <name val="Times New Roman"/>
      <family val="1"/>
    </font>
    <font>
      <sz val="8"/>
      <color theme="1" tint="0.24994659260841701"/>
      <name val="Times New Roman"/>
      <family val="1"/>
    </font>
    <font>
      <sz val="9"/>
      <color rgb="FF373E4D"/>
      <name val="Arial"/>
      <family val="2"/>
    </font>
    <font>
      <sz val="11"/>
      <color theme="1"/>
      <name val="Arial"/>
      <family val="2"/>
    </font>
    <font>
      <b/>
      <sz val="11"/>
      <color rgb="FFFF0000"/>
      <name val="Times New Roman"/>
      <family val="1"/>
    </font>
    <font>
      <sz val="12"/>
      <color theme="0"/>
      <name val="Times New Roman"/>
      <family val="1"/>
    </font>
    <font>
      <i/>
      <sz val="11"/>
      <color theme="1"/>
      <name val="Times New Roman"/>
      <family val="1"/>
    </font>
    <font>
      <i/>
      <sz val="11"/>
      <color theme="1"/>
      <name val="Calibri"/>
      <family val="2"/>
      <scheme val="minor"/>
    </font>
    <font>
      <sz val="11"/>
      <color rgb="FFFF0000"/>
      <name val="Times New Roman"/>
      <family val="1"/>
    </font>
    <font>
      <b/>
      <sz val="20"/>
      <color rgb="FF0000FF"/>
      <name val="Times New Roman"/>
      <family val="1"/>
    </font>
    <font>
      <b/>
      <sz val="20"/>
      <color rgb="FF0066FF"/>
      <name val="Times New Roman"/>
      <family val="1"/>
    </font>
    <font>
      <b/>
      <sz val="14"/>
      <color rgb="FFC00000"/>
      <name val="Times New Roman"/>
      <family val="1"/>
    </font>
    <font>
      <sz val="14"/>
      <color rgb="FFC00000"/>
      <name val="Times New Roman"/>
      <family val="1"/>
    </font>
    <font>
      <b/>
      <sz val="12"/>
      <color rgb="FF0000FF"/>
      <name val="Arial"/>
      <family val="2"/>
    </font>
    <font>
      <b/>
      <vertAlign val="subscript"/>
      <sz val="10"/>
      <color indexed="9"/>
      <name val="Times New Roman"/>
      <family val="1"/>
    </font>
    <font>
      <b/>
      <sz val="12"/>
      <color rgb="FF0000FF"/>
      <name val="Times New Roman"/>
      <family val="1"/>
    </font>
    <font>
      <b/>
      <vertAlign val="subscript"/>
      <sz val="12"/>
      <color indexed="12"/>
      <name val="Times New Roman"/>
      <family val="1"/>
    </font>
    <font>
      <b/>
      <sz val="12"/>
      <color theme="0"/>
      <name val="Times New Roman"/>
      <family val="1"/>
    </font>
    <font>
      <b/>
      <vertAlign val="subscript"/>
      <sz val="12"/>
      <color theme="1"/>
      <name val="Times New Roman"/>
      <family val="1"/>
    </font>
    <font>
      <b/>
      <vertAlign val="subscript"/>
      <sz val="12"/>
      <color indexed="9"/>
      <name val="Times New Roman"/>
      <family val="1"/>
    </font>
    <font>
      <b/>
      <sz val="12"/>
      <color indexed="81"/>
      <name val="Tahoma"/>
      <family val="2"/>
    </font>
    <font>
      <sz val="11"/>
      <color rgb="FF9C0006"/>
      <name val="Calibri"/>
      <family val="2"/>
      <scheme val="minor"/>
    </font>
    <font>
      <i/>
      <sz val="11"/>
      <color theme="1" tint="0.34998626667073579"/>
      <name val="Times New Roman"/>
      <family val="1"/>
    </font>
    <font>
      <sz val="12"/>
      <color rgb="FF3F3F76"/>
      <name val="Times New Roman"/>
      <family val="1"/>
    </font>
    <font>
      <b/>
      <sz val="12"/>
      <color rgb="FF0000CC"/>
      <name val="Times New Roman"/>
      <family val="1"/>
    </font>
    <font>
      <b/>
      <vertAlign val="subscript"/>
      <sz val="12"/>
      <color rgb="FF0000CC"/>
      <name val="Times New Roman"/>
      <family val="1"/>
    </font>
    <font>
      <sz val="12"/>
      <color indexed="81"/>
      <name val="Tahoma"/>
      <family val="2"/>
    </font>
    <font>
      <b/>
      <vertAlign val="superscript"/>
      <sz val="12"/>
      <color theme="1"/>
      <name val="Times New Roman"/>
      <family val="1"/>
    </font>
    <font>
      <b/>
      <sz val="14"/>
      <color indexed="81"/>
      <name val="Times New Roman"/>
      <family val="1"/>
    </font>
    <font>
      <sz val="14"/>
      <color indexed="81"/>
      <name val="Times New Roman"/>
      <family val="1"/>
    </font>
    <font>
      <b/>
      <vertAlign val="subscript"/>
      <sz val="14"/>
      <name val="Times New Roman"/>
      <family val="1"/>
    </font>
    <font>
      <vertAlign val="superscript"/>
      <sz val="14"/>
      <name val="Times New Roman"/>
      <family val="1"/>
    </font>
    <font>
      <sz val="14"/>
      <name val="Symbol"/>
      <family val="1"/>
      <charset val="2"/>
    </font>
    <font>
      <b/>
      <vertAlign val="superscript"/>
      <sz val="14"/>
      <name val="Times New Roman"/>
      <family val="1"/>
    </font>
    <font>
      <i/>
      <vertAlign val="subscript"/>
      <sz val="14"/>
      <name val="Times New Roman"/>
      <family val="1"/>
    </font>
    <font>
      <i/>
      <vertAlign val="subscript"/>
      <sz val="14"/>
      <color theme="1"/>
      <name val="Times New Roman"/>
      <family val="1"/>
    </font>
    <font>
      <i/>
      <sz val="14"/>
      <color theme="1"/>
      <name val="Times New Roman"/>
      <family val="1"/>
    </font>
    <font>
      <sz val="14"/>
      <color theme="1"/>
      <name val="Calibri"/>
      <family val="2"/>
      <charset val="163"/>
      <scheme val="minor"/>
    </font>
    <font>
      <vertAlign val="subscript"/>
      <sz val="10"/>
      <name val="Times New Roman"/>
      <family val="1"/>
    </font>
    <font>
      <vertAlign val="subscript"/>
      <sz val="11"/>
      <color theme="1"/>
      <name val="Times New Roman"/>
      <family val="1"/>
    </font>
    <font>
      <vertAlign val="superscript"/>
      <sz val="11"/>
      <color theme="1"/>
      <name val="Times New Roman"/>
      <family val="1"/>
    </font>
    <font>
      <vertAlign val="superscript"/>
      <sz val="11"/>
      <name val="Times New Roman"/>
      <family val="1"/>
    </font>
    <font>
      <sz val="14"/>
      <color indexed="8"/>
      <name val="Times New Roman"/>
      <family val="1"/>
    </font>
    <font>
      <b/>
      <sz val="14"/>
      <name val="Calibri"/>
      <family val="2"/>
    </font>
    <font>
      <sz val="14"/>
      <name val="Calibri"/>
      <family val="2"/>
    </font>
    <font>
      <sz val="11"/>
      <color theme="1"/>
      <name val="Calibri"/>
      <family val="2"/>
      <scheme val="minor"/>
    </font>
    <font>
      <sz val="12"/>
      <color theme="0" tint="-0.34998626667073579"/>
      <name val="Times New Roman"/>
      <family val="1"/>
    </font>
    <font>
      <b/>
      <sz val="11"/>
      <color theme="1"/>
      <name val="Calibri"/>
      <family val="2"/>
      <scheme val="minor"/>
    </font>
    <font>
      <b/>
      <sz val="14"/>
      <color rgb="FFFF0000"/>
      <name val="Times New Roman"/>
      <family val="1"/>
    </font>
    <font>
      <b/>
      <sz val="13"/>
      <color rgb="FF0000FF"/>
      <name val="Times New Roman"/>
      <family val="1"/>
    </font>
    <font>
      <b/>
      <sz val="10"/>
      <color indexed="81"/>
      <name val="Tahoma"/>
      <family val="2"/>
    </font>
    <font>
      <sz val="12"/>
      <color theme="10"/>
      <name val="Times New Roman"/>
      <family val="1"/>
    </font>
    <font>
      <u/>
      <sz val="12"/>
      <color theme="10"/>
      <name val="Times New Roman"/>
      <family val="1"/>
    </font>
    <font>
      <sz val="11"/>
      <color rgb="FF000000"/>
      <name val="Calibri"/>
      <family val="2"/>
    </font>
    <font>
      <sz val="12"/>
      <color rgb="FF0000FF"/>
      <name val="Times New Roman"/>
      <family val="1"/>
    </font>
    <font>
      <vertAlign val="superscript"/>
      <sz val="12"/>
      <color rgb="FF0000FF"/>
      <name val="Times New Roman"/>
      <family val="1"/>
    </font>
    <font>
      <b/>
      <sz val="12"/>
      <color theme="10"/>
      <name val="Times New Roman"/>
      <family val="1"/>
    </font>
    <font>
      <sz val="12"/>
      <color theme="1"/>
      <name val="Calibri"/>
      <family val="2"/>
    </font>
    <font>
      <sz val="13"/>
      <color rgb="FFFF0000"/>
      <name val="Times New Roman"/>
      <family val="1"/>
    </font>
    <font>
      <b/>
      <sz val="13"/>
      <color rgb="FFFF0000"/>
      <name val="Times New Roman"/>
      <family val="1"/>
    </font>
    <font>
      <sz val="11"/>
      <color indexed="81"/>
      <name val="Tahoma"/>
      <family val="2"/>
    </font>
    <font>
      <sz val="14"/>
      <color indexed="81"/>
      <name val="Tahoma"/>
      <family val="2"/>
    </font>
    <font>
      <b/>
      <sz val="11"/>
      <color theme="1"/>
      <name val="Calibri"/>
      <family val="2"/>
      <charset val="163"/>
      <scheme val="minor"/>
    </font>
    <font>
      <i/>
      <sz val="16"/>
      <name val="Times New Roman"/>
      <family val="1"/>
    </font>
    <font>
      <b/>
      <i/>
      <sz val="16"/>
      <name val="Times New Roman"/>
      <family val="1"/>
      <charset val="163"/>
    </font>
    <font>
      <b/>
      <sz val="30"/>
      <name val="Verdana"/>
      <family val="2"/>
    </font>
    <font>
      <b/>
      <sz val="11"/>
      <color indexed="16"/>
      <name val="Times New Roman"/>
      <family val="1"/>
    </font>
    <font>
      <b/>
      <sz val="18"/>
      <color indexed="10"/>
      <name val="Times New Roman"/>
      <family val="1"/>
    </font>
    <font>
      <sz val="14"/>
      <color indexed="41"/>
      <name val="Times New Roman"/>
      <family val="1"/>
    </font>
    <font>
      <b/>
      <sz val="16"/>
      <color theme="1"/>
      <name val="Times New Roman"/>
      <family val="1"/>
    </font>
    <font>
      <vertAlign val="subscript"/>
      <sz val="13"/>
      <name val="Times New Roman"/>
      <family val="1"/>
    </font>
    <font>
      <u/>
      <sz val="12"/>
      <color rgb="FF0070C0"/>
      <name val="Times New Roman"/>
      <family val="1"/>
    </font>
    <font>
      <b/>
      <sz val="14"/>
      <color theme="0"/>
      <name val="Times New Roman"/>
      <family val="1"/>
    </font>
    <font>
      <b/>
      <sz val="18"/>
      <name val="Time News Roman"/>
      <charset val="163"/>
    </font>
    <font>
      <i/>
      <sz val="13"/>
      <name val="Times New Roman"/>
      <family val="1"/>
    </font>
    <font>
      <b/>
      <sz val="11"/>
      <color indexed="12"/>
      <name val="Times New Roman"/>
      <family val="1"/>
    </font>
    <font>
      <sz val="11"/>
      <color indexed="12"/>
      <name val="Times New Roman"/>
      <family val="1"/>
    </font>
    <font>
      <sz val="11"/>
      <name val="VNI-Times"/>
    </font>
    <font>
      <b/>
      <sz val="11"/>
      <name val="VNI-Times"/>
    </font>
    <font>
      <sz val="12"/>
      <name val="VNI-Times"/>
    </font>
    <font>
      <sz val="12"/>
      <color theme="1"/>
      <name val="Calibri"/>
      <family val="2"/>
      <charset val="163"/>
      <scheme val="minor"/>
    </font>
    <font>
      <sz val="12"/>
      <name val="Arial"/>
      <family val="2"/>
    </font>
    <font>
      <b/>
      <i/>
      <sz val="11"/>
      <name val="Times New Roman"/>
      <family val="1"/>
    </font>
    <font>
      <b/>
      <sz val="14"/>
      <color rgb="FF0000FF"/>
      <name val="Times New Roman"/>
      <family val="1"/>
    </font>
    <font>
      <b/>
      <sz val="11"/>
      <color indexed="81"/>
      <name val="Tahoma"/>
      <family val="2"/>
    </font>
    <font>
      <sz val="13"/>
      <color theme="3" tint="0.39997558519241921"/>
      <name val="Times New Roman"/>
      <family val="1"/>
    </font>
    <font>
      <b/>
      <vertAlign val="subscript"/>
      <sz val="12"/>
      <color theme="3" tint="0.39997558519241921"/>
      <name val="Times New Roman"/>
      <family val="1"/>
    </font>
    <font>
      <b/>
      <sz val="13"/>
      <color theme="3" tint="0.39997558519241921"/>
      <name val="Times New Roman"/>
      <family val="1"/>
    </font>
    <font>
      <sz val="11"/>
      <color theme="3" tint="0.39997558519241921"/>
      <name val="Calibri"/>
      <family val="2"/>
      <scheme val="minor"/>
    </font>
    <font>
      <b/>
      <sz val="11"/>
      <color theme="3" tint="0.39997558519241921"/>
      <name val="Calibri"/>
      <family val="2"/>
      <scheme val="minor"/>
    </font>
    <font>
      <b/>
      <i/>
      <sz val="12"/>
      <color theme="2" tint="-0.499984740745262"/>
      <name val="Times New Roman"/>
      <family val="1"/>
    </font>
    <font>
      <i/>
      <u/>
      <sz val="12"/>
      <color rgb="FF0070C0"/>
      <name val="Times New Roman"/>
      <family val="1"/>
    </font>
    <font>
      <sz val="11"/>
      <color theme="2" tint="-0.499984740745262"/>
      <name val="Calibri"/>
      <family val="2"/>
      <scheme val="minor"/>
    </font>
    <font>
      <b/>
      <sz val="13"/>
      <color theme="2" tint="-0.499984740745262"/>
      <name val="Times New Roman"/>
      <family val="1"/>
    </font>
    <font>
      <sz val="13"/>
      <color theme="2" tint="-0.499984740745262"/>
      <name val="Times New Roman"/>
      <family val="1"/>
    </font>
    <font>
      <sz val="14"/>
      <color theme="2" tint="-0.499984740745262"/>
      <name val="Times New Roman"/>
      <family val="1"/>
    </font>
    <font>
      <u/>
      <sz val="12"/>
      <color theme="2" tint="-0.499984740745262"/>
      <name val="Times New Roman"/>
      <family val="1"/>
    </font>
    <font>
      <b/>
      <sz val="12"/>
      <color theme="2" tint="-0.499984740745262"/>
      <name val="Times New Roman"/>
      <family val="1"/>
    </font>
    <font>
      <vertAlign val="subscript"/>
      <sz val="12"/>
      <color theme="1"/>
      <name val="Times New Roman"/>
      <family val="1"/>
    </font>
    <font>
      <b/>
      <u/>
      <sz val="12"/>
      <color indexed="12"/>
      <name val="Times New Roman"/>
      <family val="1"/>
    </font>
    <font>
      <sz val="12"/>
      <color indexed="41"/>
      <name val="Times New Roman"/>
      <family val="1"/>
    </font>
    <font>
      <b/>
      <sz val="12"/>
      <color theme="3" tint="0.39997558519241921"/>
      <name val="Times New Roman"/>
      <family val="1"/>
    </font>
    <font>
      <sz val="12"/>
      <color theme="3" tint="0.39997558519241921"/>
      <name val="Times New Roman"/>
      <family val="1"/>
    </font>
    <font>
      <i/>
      <u/>
      <sz val="12"/>
      <color indexed="12"/>
      <name val="Times New Roman"/>
      <family val="1"/>
    </font>
    <font>
      <i/>
      <u/>
      <sz val="12"/>
      <color theme="1"/>
      <name val="Times New Roman"/>
      <family val="1"/>
    </font>
    <font>
      <i/>
      <u/>
      <sz val="12"/>
      <color theme="2" tint="-0.499984740745262"/>
      <name val="Times New Roman"/>
      <family val="1"/>
    </font>
    <font>
      <u/>
      <sz val="12"/>
      <color theme="1"/>
      <name val="Times New Roman"/>
      <family val="1"/>
    </font>
    <font>
      <sz val="12"/>
      <color theme="2" tint="-0.499984740745262"/>
      <name val="Times New Roman"/>
      <family val="1"/>
    </font>
    <font>
      <b/>
      <u/>
      <sz val="12"/>
      <color theme="3" tint="0.39997558519241921"/>
      <name val="Times New Roman"/>
      <family val="1"/>
    </font>
    <font>
      <u/>
      <sz val="12"/>
      <color theme="3" tint="0.39997558519241921"/>
      <name val="Times New Roman"/>
      <family val="1"/>
    </font>
    <font>
      <i/>
      <sz val="12"/>
      <color rgb="FFFF0000"/>
      <name val="Times New Roman"/>
      <family val="1"/>
    </font>
    <font>
      <b/>
      <i/>
      <sz val="11"/>
      <color rgb="FF000000"/>
      <name val="Times New Roman"/>
      <family val="1"/>
    </font>
    <font>
      <b/>
      <sz val="11"/>
      <color rgb="FF000000"/>
      <name val="Times New Roman"/>
      <family val="1"/>
    </font>
    <font>
      <sz val="12"/>
      <color rgb="FF000000"/>
      <name val="Times New Roman"/>
      <family val="1"/>
    </font>
    <font>
      <sz val="11"/>
      <color rgb="FF000000"/>
      <name val="Times New Roman"/>
      <family val="1"/>
    </font>
    <font>
      <b/>
      <i/>
      <sz val="11"/>
      <color rgb="FFFFFFFF"/>
      <name val="Times New Roman"/>
      <family val="1"/>
    </font>
    <font>
      <sz val="12"/>
      <color rgb="FFF60000"/>
      <name val="Times New Roman"/>
      <family val="1"/>
    </font>
    <font>
      <i/>
      <sz val="12"/>
      <color rgb="FFF60000"/>
      <name val="Times New Roman"/>
      <family val="1"/>
    </font>
    <font>
      <sz val="12"/>
      <color theme="1"/>
      <name val="Times New Roman"/>
      <family val="1"/>
      <charset val="163"/>
    </font>
    <font>
      <sz val="10"/>
      <name val="Arial"/>
      <family val="2"/>
      <charset val="163"/>
    </font>
    <font>
      <i/>
      <sz val="10"/>
      <color rgb="FF0000FF"/>
      <name val="Times New Roman"/>
      <family val="1"/>
      <charset val="163"/>
    </font>
    <font>
      <b/>
      <sz val="14"/>
      <color indexed="81"/>
      <name val="Tahoma"/>
      <family val="2"/>
    </font>
    <font>
      <sz val="12"/>
      <color rgb="FF0000FA"/>
      <name val="Times New Roman"/>
      <family val="1"/>
    </font>
    <font>
      <sz val="10"/>
      <color rgb="FF000000"/>
      <name val="Times New Roman"/>
      <family val="1"/>
    </font>
    <font>
      <sz val="11"/>
      <color rgb="FF0000FF"/>
      <name val="Times New Roman"/>
      <family val="1"/>
    </font>
    <font>
      <sz val="12"/>
      <color rgb="FF0000FF"/>
      <name val="Times New Roman"/>
      <family val="1"/>
      <charset val="163"/>
    </font>
    <font>
      <i/>
      <sz val="10"/>
      <color rgb="FF0000FF"/>
      <name val="Times New Roman"/>
      <family val="1"/>
    </font>
  </fonts>
  <fills count="38">
    <fill>
      <patternFill patternType="none"/>
    </fill>
    <fill>
      <patternFill patternType="gray125"/>
    </fill>
    <fill>
      <patternFill patternType="solid">
        <fgColor indexed="9"/>
        <bgColor indexed="64"/>
      </patternFill>
    </fill>
    <fill>
      <patternFill patternType="solid">
        <fgColor indexed="57"/>
        <bgColor indexed="64"/>
      </patternFill>
    </fill>
    <fill>
      <patternFill patternType="solid">
        <fgColor indexed="43"/>
        <bgColor indexed="64"/>
      </patternFill>
    </fill>
    <fill>
      <patternFill patternType="solid">
        <fgColor indexed="8"/>
        <bgColor indexed="64"/>
      </patternFill>
    </fill>
    <fill>
      <patternFill patternType="solid">
        <fgColor indexed="42"/>
        <bgColor indexed="64"/>
      </patternFill>
    </fill>
    <fill>
      <patternFill patternType="solid">
        <fgColor indexed="13"/>
        <bgColor indexed="64"/>
      </patternFill>
    </fill>
    <fill>
      <patternFill patternType="solid">
        <fgColor indexed="65"/>
        <bgColor indexed="9"/>
      </patternFill>
    </fill>
    <fill>
      <patternFill patternType="solid">
        <fgColor indexed="9"/>
        <bgColor indexed="9"/>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CCCCFF"/>
        <bgColor indexed="64"/>
      </patternFill>
    </fill>
    <fill>
      <patternFill patternType="solid">
        <fgColor rgb="FFCCFFCC"/>
        <bgColor indexed="64"/>
      </patternFill>
    </fill>
    <fill>
      <patternFill patternType="solid">
        <fgColor rgb="FFFF0000"/>
        <bgColor indexed="64"/>
      </patternFill>
    </fill>
    <fill>
      <patternFill patternType="solid">
        <fgColor rgb="FFFFFF99"/>
        <bgColor indexed="64"/>
      </patternFill>
    </fill>
    <fill>
      <patternFill patternType="solid">
        <fgColor theme="0" tint="-0.249977111117893"/>
        <bgColor indexed="64"/>
      </patternFill>
    </fill>
    <fill>
      <gradientFill degree="90">
        <stop position="0">
          <color rgb="FFFFFF00"/>
        </stop>
        <stop position="1">
          <color theme="6" tint="0.40000610370189521"/>
        </stop>
      </gradientFill>
    </fill>
    <fill>
      <patternFill patternType="solid">
        <fgColor theme="0" tint="-4.9989318521683403E-2"/>
        <bgColor indexed="64"/>
      </patternFill>
    </fill>
    <fill>
      <patternFill patternType="solid">
        <fgColor rgb="FFFFC7CE"/>
      </patternFill>
    </fill>
    <fill>
      <patternFill patternType="solid">
        <fgColor rgb="FFFFCC99"/>
      </patternFill>
    </fill>
    <fill>
      <patternFill patternType="solid">
        <fgColor rgb="FFA5A5A5"/>
      </patternFill>
    </fill>
    <fill>
      <patternFill patternType="solid">
        <fgColor theme="9" tint="0.59999389629810485"/>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rgb="FF99FFCC"/>
        <bgColor indexed="64"/>
      </patternFill>
    </fill>
    <fill>
      <patternFill patternType="solid">
        <fgColor rgb="FF99FF99"/>
        <bgColor indexed="64"/>
      </patternFill>
    </fill>
    <fill>
      <patternFill patternType="solid">
        <fgColor rgb="FFFFFF66"/>
        <bgColor indexed="64"/>
      </patternFill>
    </fill>
    <fill>
      <patternFill patternType="solid">
        <fgColor rgb="FFCCFFFF"/>
        <bgColor indexed="64"/>
      </patternFill>
    </fill>
    <fill>
      <patternFill patternType="solid">
        <fgColor theme="3" tint="0.59999389629810485"/>
        <bgColor indexed="64"/>
      </patternFill>
    </fill>
    <fill>
      <patternFill patternType="solid">
        <fgColor rgb="FFF2F2F2"/>
        <bgColor indexed="64"/>
      </patternFill>
    </fill>
  </fills>
  <borders count="127">
    <border>
      <left/>
      <right/>
      <top/>
      <bottom/>
      <diagonal/>
    </border>
    <border>
      <left/>
      <right style="double">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double">
        <color indexed="64"/>
      </left>
      <right/>
      <top/>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hair">
        <color indexed="64"/>
      </top>
      <bottom/>
      <diagonal/>
    </border>
    <border>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bottom/>
      <diagonal/>
    </border>
    <border>
      <left/>
      <right style="thin">
        <color indexed="64"/>
      </right>
      <top style="medium">
        <color indexed="64"/>
      </top>
      <bottom/>
      <diagonal/>
    </border>
    <border>
      <left style="thin">
        <color indexed="64"/>
      </left>
      <right/>
      <top/>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dotted">
        <color auto="1"/>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diagonal/>
    </border>
    <border>
      <left/>
      <right style="double">
        <color indexed="64"/>
      </right>
      <top style="hair">
        <color indexed="64"/>
      </top>
      <bottom style="double">
        <color indexed="64"/>
      </bottom>
      <diagonal/>
    </border>
    <border>
      <left/>
      <right/>
      <top style="hair">
        <color indexed="64"/>
      </top>
      <bottom style="double">
        <color indexed="64"/>
      </bottom>
      <diagonal/>
    </border>
    <border>
      <left style="thin">
        <color indexed="64"/>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style="thin">
        <color indexed="64"/>
      </bottom>
      <diagonal/>
    </border>
    <border>
      <left style="thin">
        <color indexed="64"/>
      </left>
      <right/>
      <top style="double">
        <color indexed="64"/>
      </top>
      <bottom/>
      <diagonal/>
    </border>
    <border>
      <left/>
      <right/>
      <top style="hair">
        <color auto="1"/>
      </top>
      <bottom/>
      <diagonal/>
    </border>
    <border>
      <left style="medium">
        <color auto="1"/>
      </left>
      <right/>
      <top/>
      <bottom/>
      <diagonal/>
    </border>
    <border>
      <left/>
      <right style="thin">
        <color indexed="64"/>
      </right>
      <top style="hair">
        <color indexed="64"/>
      </top>
      <bottom/>
      <diagonal/>
    </border>
    <border>
      <left style="thin">
        <color indexed="64"/>
      </left>
      <right style="double">
        <color indexed="64"/>
      </right>
      <top style="hair">
        <color indexed="64"/>
      </top>
      <bottom/>
      <diagonal/>
    </border>
    <border>
      <left style="double">
        <color indexed="64"/>
      </left>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diagonal/>
    </border>
    <border>
      <left style="thin">
        <color indexed="64"/>
      </left>
      <right style="double">
        <color indexed="64"/>
      </right>
      <top/>
      <bottom/>
      <diagonal/>
    </border>
    <border>
      <left/>
      <right style="medium">
        <color rgb="FF000000"/>
      </right>
      <top/>
      <bottom/>
      <diagonal/>
    </border>
    <border>
      <left style="double">
        <color indexed="64"/>
      </left>
      <right style="thin">
        <color indexed="64"/>
      </right>
      <top style="thin">
        <color indexed="64"/>
      </top>
      <bottom/>
      <diagonal/>
    </border>
    <border>
      <left style="double">
        <color rgb="FF000000"/>
      </left>
      <right style="thin">
        <color indexed="64"/>
      </right>
      <top style="hair">
        <color rgb="FF000000"/>
      </top>
      <bottom style="hair">
        <color rgb="FF000000"/>
      </bottom>
      <diagonal/>
    </border>
    <border>
      <left style="double">
        <color indexed="64"/>
      </left>
      <right style="thin">
        <color indexed="64"/>
      </right>
      <top/>
      <bottom/>
      <diagonal/>
    </border>
    <border>
      <left style="double">
        <color indexed="64"/>
      </left>
      <right style="thin">
        <color indexed="64"/>
      </right>
      <top style="hair">
        <color indexed="64"/>
      </top>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style="thin">
        <color indexed="64"/>
      </left>
      <right style="double">
        <color indexed="64"/>
      </right>
      <top style="hair">
        <color indexed="64"/>
      </top>
      <bottom style="thin">
        <color indexed="64"/>
      </bottom>
      <diagonal/>
    </border>
    <border>
      <left style="double">
        <color rgb="FF000000"/>
      </left>
      <right style="thin">
        <color indexed="64"/>
      </right>
      <top style="hair">
        <color indexed="64"/>
      </top>
      <bottom style="hair">
        <color indexed="64"/>
      </bottom>
      <diagonal/>
    </border>
    <border>
      <left style="thin">
        <color indexed="64"/>
      </left>
      <right style="thin">
        <color indexed="64"/>
      </right>
      <top style="thin">
        <color indexed="64"/>
      </top>
      <bottom style="thin">
        <color auto="1"/>
      </bottom>
      <diagonal/>
    </border>
    <border>
      <left style="thin">
        <color indexed="64"/>
      </left>
      <right/>
      <top style="thin">
        <color indexed="64"/>
      </top>
      <bottom style="thin">
        <color auto="1"/>
      </bottom>
      <diagonal/>
    </border>
    <border>
      <left/>
      <right/>
      <top style="thin">
        <color indexed="64"/>
      </top>
      <bottom style="thin">
        <color auto="1"/>
      </bottom>
      <diagonal/>
    </border>
    <border>
      <left style="thin">
        <color auto="1"/>
      </left>
      <right style="thin">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right style="thin">
        <color auto="1"/>
      </right>
      <top style="thin">
        <color indexed="64"/>
      </top>
      <bottom style="thin">
        <color indexed="64"/>
      </bottom>
      <diagonal/>
    </border>
    <border>
      <left style="thin">
        <color auto="1"/>
      </left>
      <right style="thin">
        <color auto="1"/>
      </right>
      <top style="thin">
        <color indexed="64"/>
      </top>
      <bottom style="thin">
        <color auto="1"/>
      </bottom>
      <diagonal/>
    </border>
    <border>
      <left style="thin">
        <color auto="1"/>
      </left>
      <right style="thin">
        <color indexed="64"/>
      </right>
      <top style="thin">
        <color indexed="64"/>
      </top>
      <bottom style="thin">
        <color auto="1"/>
      </bottom>
      <diagonal/>
    </border>
    <border>
      <left style="thin">
        <color auto="1"/>
      </left>
      <right/>
      <top style="thin">
        <color indexed="64"/>
      </top>
      <bottom style="thin">
        <color auto="1"/>
      </bottom>
      <diagonal/>
    </border>
    <border>
      <left/>
      <right style="thin">
        <color auto="1"/>
      </right>
      <top style="thin">
        <color indexed="64"/>
      </top>
      <bottom style="thin">
        <color auto="1"/>
      </bottom>
      <diagonal/>
    </border>
    <border>
      <left/>
      <right style="thin">
        <color indexed="64"/>
      </right>
      <top style="dotted">
        <color indexed="64"/>
      </top>
      <bottom/>
      <diagonal/>
    </border>
    <border>
      <left style="thin">
        <color indexed="64"/>
      </left>
      <right style="thin">
        <color indexed="64"/>
      </right>
      <top style="dotted">
        <color auto="1"/>
      </top>
      <bottom/>
      <diagonal/>
    </border>
    <border>
      <left style="thin">
        <color auto="1"/>
      </left>
      <right style="thin">
        <color indexed="64"/>
      </right>
      <top style="thin">
        <color auto="1"/>
      </top>
      <bottom style="dotted">
        <color auto="1"/>
      </bottom>
      <diagonal/>
    </border>
    <border>
      <left style="thin">
        <color auto="1"/>
      </left>
      <right style="thin">
        <color indexed="64"/>
      </right>
      <top style="dotted">
        <color auto="1"/>
      </top>
      <bottom style="dotted">
        <color auto="1"/>
      </bottom>
      <diagonal/>
    </border>
    <border>
      <left style="thin">
        <color auto="1"/>
      </left>
      <right style="thin">
        <color indexed="64"/>
      </right>
      <top style="dotted">
        <color auto="1"/>
      </top>
      <bottom style="thin">
        <color indexed="64"/>
      </bottom>
      <diagonal/>
    </border>
    <border>
      <left style="thin">
        <color indexed="64"/>
      </left>
      <right/>
      <top style="dotted">
        <color auto="1"/>
      </top>
      <bottom/>
      <diagonal/>
    </border>
    <border>
      <left style="thin">
        <color auto="1"/>
      </left>
      <right style="thin">
        <color auto="1"/>
      </right>
      <top style="thin">
        <color auto="1"/>
      </top>
      <bottom style="dotted">
        <color auto="1"/>
      </bottom>
      <diagonal/>
    </border>
    <border>
      <left style="thin">
        <color auto="1"/>
      </left>
      <right style="thin">
        <color auto="1"/>
      </right>
      <top style="thin">
        <color auto="1"/>
      </top>
      <bottom style="dotted">
        <color auto="1"/>
      </bottom>
      <diagonal/>
    </border>
    <border>
      <left style="thin">
        <color auto="1"/>
      </left>
      <right style="thin">
        <color indexed="64"/>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indexed="64"/>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
      <left style="thin">
        <color auto="1"/>
      </left>
      <right style="thin">
        <color indexed="64"/>
      </right>
      <top style="dotted">
        <color auto="1"/>
      </top>
      <bottom style="thin">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thin">
        <color auto="1"/>
      </top>
      <bottom style="dotted">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indexed="64"/>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indexed="64"/>
      </right>
      <top style="dotted">
        <color auto="1"/>
      </top>
      <bottom style="dotted">
        <color auto="1"/>
      </bottom>
      <diagonal/>
    </border>
    <border>
      <left style="thin">
        <color auto="1"/>
      </left>
      <right style="thin">
        <color auto="1"/>
      </right>
      <top style="dotted">
        <color auto="1"/>
      </top>
      <bottom style="thin">
        <color indexed="64"/>
      </bottom>
      <diagonal/>
    </border>
    <border>
      <left style="thin">
        <color auto="1"/>
      </left>
      <right style="thin">
        <color auto="1"/>
      </right>
      <top style="dotted">
        <color auto="1"/>
      </top>
      <bottom style="thin">
        <color indexed="64"/>
      </bottom>
      <diagonal/>
    </border>
    <border>
      <left style="thin">
        <color auto="1"/>
      </left>
      <right style="thin">
        <color indexed="64"/>
      </right>
      <top style="dotted">
        <color auto="1"/>
      </top>
      <bottom style="thin">
        <color indexed="64"/>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2">
    <xf numFmtId="0" fontId="0" fillId="0" borderId="0"/>
    <xf numFmtId="0" fontId="153" fillId="21" borderId="0" applyBorder="0" applyProtection="0">
      <alignment horizontal="justify" vertical="center"/>
    </xf>
    <xf numFmtId="0" fontId="113" fillId="0" borderId="0" applyFill="0" applyBorder="0" applyAlignment="0" applyProtection="0"/>
    <xf numFmtId="0" fontId="149" fillId="23" borderId="50" applyProtection="0">
      <alignment horizontal="justify" vertical="center"/>
    </xf>
    <xf numFmtId="0" fontId="154" fillId="0" borderId="0" applyFill="0" applyBorder="0" applyAlignment="0" applyProtection="0"/>
    <xf numFmtId="0" fontId="155" fillId="22" borderId="49" applyProtection="0">
      <alignment horizontal="justify" vertical="center" wrapText="1"/>
    </xf>
    <xf numFmtId="164" fontId="177" fillId="0" borderId="0" applyFont="0" applyFill="0" applyBorder="0" applyAlignment="0" applyProtection="0"/>
    <xf numFmtId="0" fontId="184" fillId="0" borderId="0" applyNumberFormat="0" applyFill="0" applyBorder="0" applyAlignment="0" applyProtection="0"/>
    <xf numFmtId="0" fontId="177" fillId="0" borderId="0"/>
    <xf numFmtId="9" fontId="177" fillId="0" borderId="0" applyFont="0" applyFill="0" applyBorder="0" applyAlignment="0" applyProtection="0"/>
    <xf numFmtId="164" fontId="177" fillId="0" borderId="0" applyFont="0" applyFill="0" applyBorder="0" applyAlignment="0" applyProtection="0"/>
    <xf numFmtId="164" fontId="177" fillId="0" borderId="0" applyFont="0" applyFill="0" applyBorder="0" applyAlignment="0" applyProtection="0"/>
  </cellStyleXfs>
  <cellXfs count="2674">
    <xf numFmtId="0" fontId="0" fillId="0" borderId="0" xfId="0"/>
    <xf numFmtId="0" fontId="4" fillId="0" borderId="0" xfId="0" applyFont="1" applyAlignment="1">
      <alignment horizontal="justify" vertical="center" wrapText="1"/>
    </xf>
    <xf numFmtId="0" fontId="5" fillId="0" borderId="0" xfId="0" applyFont="1" applyAlignment="1" applyProtection="1">
      <alignment horizontal="centerContinuous" vertical="center"/>
      <protection locked="0"/>
    </xf>
    <xf numFmtId="0" fontId="1" fillId="0" borderId="0" xfId="0" applyFont="1" applyAlignment="1" applyProtection="1">
      <alignment horizontal="centerContinuous" vertical="center"/>
      <protection locked="0"/>
    </xf>
    <xf numFmtId="0" fontId="4" fillId="0" borderId="0" xfId="0" applyFont="1"/>
    <xf numFmtId="0" fontId="8" fillId="0" borderId="6" xfId="0" applyFont="1" applyBorder="1" applyAlignment="1">
      <alignment horizontal="centerContinuous" vertical="center"/>
    </xf>
    <xf numFmtId="0" fontId="7" fillId="0" borderId="0" xfId="0" applyFont="1" applyAlignment="1">
      <alignment horizontal="centerContinuous" vertical="center"/>
    </xf>
    <xf numFmtId="0" fontId="10" fillId="0" borderId="6" xfId="0" applyFont="1" applyBorder="1" applyAlignment="1">
      <alignment horizontal="centerContinuous" vertical="center"/>
    </xf>
    <xf numFmtId="0" fontId="8" fillId="0" borderId="0" xfId="0" applyFont="1" applyAlignment="1">
      <alignment horizontal="centerContinuous" vertical="center"/>
    </xf>
    <xf numFmtId="0" fontId="7" fillId="0" borderId="6" xfId="0" applyFont="1" applyBorder="1" applyAlignment="1">
      <alignment horizontal="centerContinuous" vertical="center"/>
    </xf>
    <xf numFmtId="0" fontId="8" fillId="0" borderId="0" xfId="0" applyFont="1"/>
    <xf numFmtId="0" fontId="7" fillId="0" borderId="0" xfId="0" applyFont="1"/>
    <xf numFmtId="0" fontId="9" fillId="0" borderId="0" xfId="0" applyFont="1" applyAlignment="1">
      <alignment horizontal="centerContinuous" vertical="center" wrapText="1"/>
    </xf>
    <xf numFmtId="0" fontId="9" fillId="0" borderId="0" xfId="0" applyFont="1"/>
    <xf numFmtId="0" fontId="16" fillId="0" borderId="0" xfId="0" applyFont="1"/>
    <xf numFmtId="0" fontId="17" fillId="0" borderId="0" xfId="0" applyFont="1" applyAlignment="1">
      <alignment horizontal="centerContinuous" vertical="center" wrapText="1"/>
    </xf>
    <xf numFmtId="0" fontId="19" fillId="0" borderId="0" xfId="0" applyFont="1" applyAlignment="1">
      <alignment horizontal="centerContinuous" vertical="center"/>
    </xf>
    <xf numFmtId="0" fontId="4" fillId="0" borderId="0" xfId="0" applyFont="1" applyAlignment="1">
      <alignment vertical="center"/>
    </xf>
    <xf numFmtId="0" fontId="20" fillId="0" borderId="0" xfId="0" applyFont="1" applyAlignment="1">
      <alignment horizontal="centerContinuous" vertical="center"/>
    </xf>
    <xf numFmtId="0" fontId="21" fillId="0" borderId="0" xfId="0" applyFont="1" applyAlignment="1">
      <alignment horizontal="center" vertical="center"/>
    </xf>
    <xf numFmtId="0" fontId="22" fillId="0" borderId="0" xfId="0" applyFont="1" applyAlignment="1">
      <alignment vertical="center"/>
    </xf>
    <xf numFmtId="0" fontId="9" fillId="0" borderId="0" xfId="0" quotePrefix="1" applyFont="1" applyAlignment="1">
      <alignment horizontal="justify" vertical="center"/>
    </xf>
    <xf numFmtId="0" fontId="4" fillId="0" borderId="0" xfId="0" applyFont="1" applyAlignment="1">
      <alignment vertical="center" wrapText="1"/>
    </xf>
    <xf numFmtId="171" fontId="4" fillId="0" borderId="0" xfId="0" applyNumberFormat="1" applyFont="1" applyAlignment="1">
      <alignment vertical="center"/>
    </xf>
    <xf numFmtId="0" fontId="18" fillId="0" borderId="0" xfId="0" applyFont="1" applyAlignment="1">
      <alignment vertical="center" wrapText="1"/>
    </xf>
    <xf numFmtId="0" fontId="4" fillId="0" borderId="0" xfId="0" applyFont="1" applyAlignment="1">
      <alignment horizontal="center" vertical="center"/>
    </xf>
    <xf numFmtId="0" fontId="29" fillId="0" borderId="0" xfId="0" applyFont="1"/>
    <xf numFmtId="0" fontId="28" fillId="0" borderId="0" xfId="0" applyFont="1"/>
    <xf numFmtId="0" fontId="33" fillId="0" borderId="0" xfId="0" applyFont="1" applyAlignment="1">
      <alignment horizontal="centerContinuous" vertical="center"/>
    </xf>
    <xf numFmtId="3" fontId="33" fillId="0" borderId="0" xfId="0" applyNumberFormat="1" applyFont="1" applyAlignment="1">
      <alignment horizontal="centerContinuous" vertical="center"/>
    </xf>
    <xf numFmtId="0" fontId="32" fillId="0" borderId="0" xfId="0" applyFont="1" applyAlignment="1">
      <alignment vertical="center"/>
    </xf>
    <xf numFmtId="3" fontId="32" fillId="0" borderId="0" xfId="0" applyNumberFormat="1" applyFont="1" applyAlignment="1">
      <alignment vertical="center"/>
    </xf>
    <xf numFmtId="3" fontId="14" fillId="0" borderId="0" xfId="0" applyNumberFormat="1" applyFont="1" applyAlignment="1">
      <alignment horizontal="right" vertical="center"/>
    </xf>
    <xf numFmtId="0" fontId="9" fillId="0" borderId="8" xfId="0" applyFont="1" applyBorder="1" applyAlignment="1">
      <alignment horizontal="center" vertical="center"/>
    </xf>
    <xf numFmtId="0" fontId="9" fillId="0" borderId="8" xfId="0" applyFont="1" applyBorder="1" applyAlignment="1">
      <alignment horizontal="justify" vertical="center" wrapText="1"/>
    </xf>
    <xf numFmtId="0" fontId="4" fillId="0" borderId="8" xfId="0" applyFont="1" applyBorder="1" applyAlignment="1">
      <alignment horizontal="center" vertical="center"/>
    </xf>
    <xf numFmtId="3" fontId="9" fillId="0" borderId="8" xfId="0" applyNumberFormat="1" applyFont="1" applyBorder="1" applyAlignment="1">
      <alignment vertical="center"/>
    </xf>
    <xf numFmtId="0" fontId="4" fillId="0" borderId="8" xfId="0" applyFont="1" applyBorder="1" applyAlignment="1">
      <alignment horizontal="justify" vertical="center" wrapText="1"/>
    </xf>
    <xf numFmtId="3" fontId="4" fillId="0" borderId="8" xfId="0" applyNumberFormat="1" applyFont="1" applyBorder="1" applyAlignment="1">
      <alignment vertical="center"/>
    </xf>
    <xf numFmtId="0" fontId="9" fillId="0" borderId="8" xfId="0" applyFont="1" applyBorder="1" applyAlignment="1">
      <alignment horizontal="center" vertical="center" wrapText="1"/>
    </xf>
    <xf numFmtId="0" fontId="36" fillId="0" borderId="8" xfId="0" applyFont="1" applyBorder="1" applyAlignment="1">
      <alignment horizontal="center" vertical="center"/>
    </xf>
    <xf numFmtId="0" fontId="38" fillId="3" borderId="9" xfId="0" applyFont="1" applyFill="1" applyBorder="1" applyAlignment="1">
      <alignment horizontal="center" vertical="center"/>
    </xf>
    <xf numFmtId="3" fontId="38" fillId="3" borderId="9" xfId="0" applyNumberFormat="1" applyFont="1" applyFill="1" applyBorder="1" applyAlignment="1">
      <alignment vertical="center"/>
    </xf>
    <xf numFmtId="0" fontId="9" fillId="0" borderId="0" xfId="0" applyFont="1" applyAlignment="1">
      <alignment horizontal="center" vertical="center"/>
    </xf>
    <xf numFmtId="0" fontId="9" fillId="0" borderId="0" xfId="0" applyFont="1" applyAlignment="1">
      <alignment horizontal="center" vertical="center" wrapText="1"/>
    </xf>
    <xf numFmtId="3" fontId="9" fillId="0" borderId="0" xfId="0" applyNumberFormat="1" applyFont="1" applyAlignment="1">
      <alignment vertical="center"/>
    </xf>
    <xf numFmtId="3" fontId="9" fillId="0" borderId="0" xfId="0" applyNumberFormat="1" applyFont="1" applyAlignment="1">
      <alignment horizontal="centerContinuous" vertical="center"/>
    </xf>
    <xf numFmtId="0" fontId="9" fillId="0" borderId="0" xfId="0" applyFont="1" applyAlignment="1">
      <alignment horizontal="centerContinuous" vertical="center"/>
    </xf>
    <xf numFmtId="3" fontId="7" fillId="0" borderId="0" xfId="0" applyNumberFormat="1" applyFont="1" applyAlignment="1">
      <alignment horizontal="centerContinuous" vertical="center"/>
    </xf>
    <xf numFmtId="0" fontId="14" fillId="0" borderId="0" xfId="0" applyFont="1" applyAlignment="1">
      <alignment horizontal="right" vertical="center"/>
    </xf>
    <xf numFmtId="0" fontId="4" fillId="0" borderId="8" xfId="0" applyFont="1" applyBorder="1" applyAlignment="1">
      <alignment horizontal="center" vertical="center" wrapText="1"/>
    </xf>
    <xf numFmtId="0" fontId="38" fillId="3" borderId="9" xfId="0" applyFont="1" applyFill="1" applyBorder="1" applyAlignment="1">
      <alignment horizontal="center" vertical="center" wrapText="1"/>
    </xf>
    <xf numFmtId="3" fontId="39" fillId="0" borderId="0" xfId="0" applyNumberFormat="1" applyFont="1" applyAlignment="1">
      <alignment horizontal="centerContinuous" vertical="center"/>
    </xf>
    <xf numFmtId="0" fontId="9" fillId="0" borderId="0" xfId="0" applyFont="1" applyAlignment="1">
      <alignment vertical="center"/>
    </xf>
    <xf numFmtId="0" fontId="27" fillId="0" borderId="0" xfId="0" applyFont="1" applyAlignment="1" applyProtection="1">
      <alignment horizontal="centerContinuous" vertical="center"/>
      <protection hidden="1"/>
    </xf>
    <xf numFmtId="0" fontId="4" fillId="0" borderId="0" xfId="0" applyFont="1" applyAlignment="1" applyProtection="1">
      <alignment vertical="center"/>
      <protection hidden="1"/>
    </xf>
    <xf numFmtId="0" fontId="43" fillId="0" borderId="0" xfId="0" applyFont="1" applyAlignment="1">
      <alignment horizontal="right" vertical="center"/>
    </xf>
    <xf numFmtId="0" fontId="35" fillId="4" borderId="3" xfId="0" applyFont="1" applyFill="1" applyBorder="1" applyAlignment="1">
      <alignment horizontal="center" vertical="center"/>
    </xf>
    <xf numFmtId="0" fontId="4" fillId="0" borderId="7" xfId="0" applyFont="1" applyBorder="1" applyAlignment="1">
      <alignment horizontal="center" vertical="center" wrapText="1"/>
    </xf>
    <xf numFmtId="179" fontId="4" fillId="0" borderId="7" xfId="0" applyNumberFormat="1" applyFont="1" applyBorder="1" applyAlignment="1">
      <alignment vertical="center" wrapText="1"/>
    </xf>
    <xf numFmtId="0" fontId="4" fillId="0" borderId="8" xfId="0" applyFont="1" applyBorder="1" applyAlignment="1">
      <alignment vertical="center" wrapText="1"/>
    </xf>
    <xf numFmtId="179" fontId="4" fillId="0" borderId="8" xfId="0" applyNumberFormat="1" applyFont="1" applyBorder="1" applyAlignment="1">
      <alignment vertical="center" wrapText="1"/>
    </xf>
    <xf numFmtId="0" fontId="42" fillId="0" borderId="8" xfId="0" applyFont="1" applyBorder="1" applyAlignment="1">
      <alignment horizontal="center" vertical="center" wrapText="1"/>
    </xf>
    <xf numFmtId="0" fontId="40" fillId="0" borderId="8" xfId="0" applyFont="1" applyBorder="1" applyAlignment="1">
      <alignment horizontal="center" vertical="center" wrapText="1"/>
    </xf>
    <xf numFmtId="0" fontId="29" fillId="0" borderId="0" xfId="0" applyFont="1" applyAlignment="1">
      <alignment vertical="center"/>
    </xf>
    <xf numFmtId="3" fontId="4" fillId="0" borderId="8" xfId="0" applyNumberFormat="1" applyFont="1" applyBorder="1" applyAlignment="1">
      <alignment vertical="center" wrapText="1"/>
    </xf>
    <xf numFmtId="3" fontId="9" fillId="0" borderId="8" xfId="0" applyNumberFormat="1" applyFont="1" applyBorder="1" applyAlignment="1">
      <alignment vertical="center" wrapText="1"/>
    </xf>
    <xf numFmtId="0" fontId="44" fillId="0" borderId="0" xfId="0" applyFont="1" applyAlignment="1">
      <alignment vertical="center"/>
    </xf>
    <xf numFmtId="0" fontId="37" fillId="0" borderId="0" xfId="0" applyFont="1" applyAlignment="1">
      <alignment vertical="center"/>
    </xf>
    <xf numFmtId="0" fontId="36" fillId="0" borderId="0" xfId="0" applyFont="1" applyAlignment="1">
      <alignment horizontal="center" vertical="center"/>
    </xf>
    <xf numFmtId="0" fontId="36" fillId="0" borderId="0" xfId="0" applyFont="1" applyAlignment="1">
      <alignment horizontal="center" vertical="center" wrapText="1"/>
    </xf>
    <xf numFmtId="3" fontId="36" fillId="0" borderId="0" xfId="0" applyNumberFormat="1" applyFont="1" applyAlignment="1">
      <alignment horizontal="centerContinuous" vertical="center"/>
    </xf>
    <xf numFmtId="0" fontId="37" fillId="0" borderId="0" xfId="0" applyFont="1" applyAlignment="1">
      <alignment horizontal="centerContinuous" vertical="center"/>
    </xf>
    <xf numFmtId="0" fontId="46" fillId="0" borderId="0" xfId="0" applyFont="1" applyAlignment="1">
      <alignment horizontal="left"/>
    </xf>
    <xf numFmtId="0" fontId="37" fillId="0" borderId="0" xfId="0" applyFont="1" applyAlignment="1">
      <alignment horizontal="left" vertical="center"/>
    </xf>
    <xf numFmtId="0" fontId="36" fillId="0" borderId="0" xfId="0" applyFont="1" applyAlignment="1">
      <alignment horizontal="centerContinuous" vertical="center"/>
    </xf>
    <xf numFmtId="49" fontId="39" fillId="0" borderId="0" xfId="0" applyNumberFormat="1" applyFont="1" applyAlignment="1" applyProtection="1">
      <alignment horizontal="centerContinuous" vertical="center" wrapText="1"/>
      <protection locked="0"/>
    </xf>
    <xf numFmtId="0" fontId="39" fillId="0" borderId="0" xfId="0" applyFont="1" applyAlignment="1" applyProtection="1">
      <alignment horizontal="centerContinuous" vertical="center" wrapText="1"/>
      <protection locked="0"/>
    </xf>
    <xf numFmtId="0" fontId="4" fillId="0" borderId="0" xfId="0" applyFont="1" applyAlignment="1" applyProtection="1">
      <alignment horizontal="centerContinuous" vertical="center"/>
      <protection locked="0"/>
    </xf>
    <xf numFmtId="0" fontId="4" fillId="0" borderId="0" xfId="0" applyFont="1" applyAlignment="1" applyProtection="1">
      <alignment vertical="center"/>
      <protection locked="0"/>
    </xf>
    <xf numFmtId="49" fontId="7" fillId="0" borderId="0" xfId="0" applyNumberFormat="1" applyFont="1" applyAlignment="1" applyProtection="1">
      <alignment horizontal="centerContinuous" vertical="center" wrapText="1"/>
      <protection locked="0"/>
    </xf>
    <xf numFmtId="0" fontId="7" fillId="0" borderId="0" xfId="0" applyFont="1" applyAlignment="1" applyProtection="1">
      <alignment horizontal="centerContinuous" vertical="center" wrapText="1"/>
      <protection locked="0"/>
    </xf>
    <xf numFmtId="0" fontId="25" fillId="0" borderId="0" xfId="0" applyFont="1" applyAlignment="1" applyProtection="1">
      <alignment vertical="center"/>
      <protection locked="0"/>
    </xf>
    <xf numFmtId="49" fontId="4" fillId="0" borderId="0" xfId="0" applyNumberFormat="1" applyFont="1" applyAlignment="1" applyProtection="1">
      <alignment vertical="center" wrapText="1"/>
      <protection locked="0"/>
    </xf>
    <xf numFmtId="0" fontId="4" fillId="0" borderId="0" xfId="0" applyFont="1" applyAlignment="1" applyProtection="1">
      <alignment vertical="center" wrapText="1"/>
      <protection locked="0"/>
    </xf>
    <xf numFmtId="166" fontId="4" fillId="0" borderId="0" xfId="0" applyNumberFormat="1" applyFont="1" applyAlignment="1" applyProtection="1">
      <alignment vertical="center"/>
      <protection locked="0"/>
    </xf>
    <xf numFmtId="0" fontId="47" fillId="4" borderId="12" xfId="0" applyFont="1" applyFill="1" applyBorder="1" applyAlignment="1" applyProtection="1">
      <alignment horizontal="centerContinuous" vertical="center"/>
      <protection locked="0"/>
    </xf>
    <xf numFmtId="0" fontId="48" fillId="4" borderId="3" xfId="0" applyFont="1" applyFill="1" applyBorder="1" applyAlignment="1" applyProtection="1">
      <alignment horizontal="center" vertical="center"/>
      <protection locked="0"/>
    </xf>
    <xf numFmtId="166" fontId="4" fillId="0" borderId="7" xfId="0" applyNumberFormat="1" applyFont="1" applyBorder="1" applyAlignment="1" applyProtection="1">
      <alignment vertical="center"/>
      <protection locked="0"/>
    </xf>
    <xf numFmtId="0" fontId="4" fillId="0" borderId="7" xfId="0" applyFont="1" applyBorder="1" applyAlignment="1" applyProtection="1">
      <alignment vertical="center"/>
      <protection locked="0"/>
    </xf>
    <xf numFmtId="166" fontId="4" fillId="4" borderId="10" xfId="0" applyNumberFormat="1" applyFont="1" applyFill="1" applyBorder="1" applyAlignment="1" applyProtection="1">
      <alignment vertical="center"/>
      <protection locked="0"/>
    </xf>
    <xf numFmtId="0" fontId="4" fillId="4" borderId="10" xfId="0" applyFont="1" applyFill="1" applyBorder="1" applyAlignment="1" applyProtection="1">
      <alignment vertical="center"/>
      <protection locked="0"/>
    </xf>
    <xf numFmtId="0" fontId="4" fillId="0" borderId="0" xfId="0" applyFont="1" applyAlignment="1">
      <alignment horizontal="centerContinuous" vertical="center" wrapText="1"/>
    </xf>
    <xf numFmtId="166" fontId="4" fillId="0" borderId="0" xfId="0" applyNumberFormat="1" applyFont="1" applyAlignment="1">
      <alignment horizontal="centerContinuous" vertical="center"/>
    </xf>
    <xf numFmtId="0" fontId="7" fillId="0" borderId="0" xfId="0" applyFont="1" applyAlignment="1">
      <alignment horizontal="centerContinuous" vertical="center" wrapText="1"/>
    </xf>
    <xf numFmtId="166" fontId="7" fillId="0" borderId="0" xfId="0" applyNumberFormat="1" applyFont="1" applyAlignment="1">
      <alignment horizontal="centerContinuous" vertical="center"/>
    </xf>
    <xf numFmtId="49" fontId="4" fillId="0" borderId="0" xfId="0" applyNumberFormat="1" applyFont="1" applyAlignment="1">
      <alignment vertical="center" wrapText="1"/>
    </xf>
    <xf numFmtId="0" fontId="4" fillId="0" borderId="0" xfId="0" applyFont="1" applyAlignment="1">
      <alignment horizontal="center" vertical="center" wrapText="1"/>
    </xf>
    <xf numFmtId="179" fontId="4" fillId="0" borderId="0" xfId="0" applyNumberFormat="1" applyFont="1" applyAlignment="1">
      <alignment vertical="center"/>
    </xf>
    <xf numFmtId="49" fontId="49" fillId="0" borderId="0" xfId="0" applyNumberFormat="1" applyFont="1" applyAlignment="1">
      <alignment horizontal="centerContinuous" vertical="center" wrapText="1"/>
    </xf>
    <xf numFmtId="49" fontId="8" fillId="0" borderId="0" xfId="0" applyNumberFormat="1" applyFont="1" applyAlignment="1">
      <alignment horizontal="centerContinuous" vertical="center" wrapText="1"/>
    </xf>
    <xf numFmtId="0" fontId="4" fillId="0" borderId="0" xfId="0" applyFont="1" applyAlignment="1">
      <alignment horizontal="centerContinuous" vertical="center"/>
    </xf>
    <xf numFmtId="0" fontId="51" fillId="0" borderId="0" xfId="0" applyFont="1" applyAlignment="1">
      <alignment horizontal="centerContinuous" vertical="center"/>
    </xf>
    <xf numFmtId="179" fontId="7" fillId="0" borderId="0" xfId="0" applyNumberFormat="1" applyFont="1" applyAlignment="1">
      <alignment horizontal="centerContinuous" vertical="center"/>
    </xf>
    <xf numFmtId="0" fontId="31" fillId="0" borderId="0" xfId="0" applyFont="1" applyAlignment="1">
      <alignment horizontal="right" vertical="center"/>
    </xf>
    <xf numFmtId="0" fontId="52" fillId="0" borderId="0" xfId="0" applyFont="1" applyAlignment="1">
      <alignment horizontal="centerContinuous" vertical="center"/>
    </xf>
    <xf numFmtId="2" fontId="52" fillId="0" borderId="0" xfId="0" applyNumberFormat="1" applyFont="1" applyAlignment="1">
      <alignment horizontal="centerContinuous" vertical="center"/>
    </xf>
    <xf numFmtId="179" fontId="53" fillId="0" borderId="0" xfId="0" applyNumberFormat="1" applyFont="1" applyAlignment="1">
      <alignment horizontal="centerContinuous" vertical="center"/>
    </xf>
    <xf numFmtId="2" fontId="53" fillId="0" borderId="0" xfId="0" applyNumberFormat="1" applyFont="1" applyAlignment="1">
      <alignment horizontal="centerContinuous" vertical="center"/>
    </xf>
    <xf numFmtId="0" fontId="54" fillId="0" borderId="0" xfId="0" applyFont="1" applyAlignment="1">
      <alignment horizontal="centerContinuous" vertical="center"/>
    </xf>
    <xf numFmtId="2" fontId="54" fillId="0" borderId="0" xfId="0" applyNumberFormat="1" applyFont="1" applyAlignment="1">
      <alignment horizontal="centerContinuous" vertical="center"/>
    </xf>
    <xf numFmtId="0" fontId="55" fillId="0" borderId="13" xfId="0" applyFont="1" applyBorder="1" applyAlignment="1" applyProtection="1">
      <alignment horizontal="center" vertical="center"/>
      <protection locked="0"/>
    </xf>
    <xf numFmtId="0" fontId="7" fillId="0" borderId="0" xfId="0" applyFont="1" applyAlignment="1" applyProtection="1">
      <alignment vertical="center"/>
      <protection locked="0"/>
    </xf>
    <xf numFmtId="0" fontId="56" fillId="0" borderId="0" xfId="0" applyFont="1" applyAlignment="1">
      <alignment horizontal="centerContinuous" vertical="center"/>
    </xf>
    <xf numFmtId="0" fontId="57" fillId="0" borderId="0" xfId="0" applyFont="1" applyAlignment="1">
      <alignment horizontal="center" vertical="center"/>
    </xf>
    <xf numFmtId="0" fontId="32" fillId="0" borderId="0" xfId="0" applyFont="1" applyAlignment="1">
      <alignment horizontal="centerContinuous" vertical="center"/>
    </xf>
    <xf numFmtId="3" fontId="32" fillId="0" borderId="0" xfId="0" applyNumberFormat="1" applyFont="1" applyAlignment="1">
      <alignment horizontal="centerContinuous" vertical="center"/>
    </xf>
    <xf numFmtId="0" fontId="9" fillId="0" borderId="8" xfId="0" applyFont="1" applyBorder="1" applyAlignment="1">
      <alignment horizontal="centerContinuous" vertical="center" wrapText="1"/>
    </xf>
    <xf numFmtId="0" fontId="27" fillId="0" borderId="0" xfId="0" applyFont="1" applyAlignment="1">
      <alignment horizontal="center" vertical="center"/>
    </xf>
    <xf numFmtId="0" fontId="27" fillId="0" borderId="0" xfId="0" applyFont="1" applyAlignment="1">
      <alignment horizontal="center" vertical="center" wrapText="1"/>
    </xf>
    <xf numFmtId="3" fontId="27" fillId="0" borderId="0" xfId="0" applyNumberFormat="1" applyFont="1" applyAlignment="1">
      <alignment vertical="center"/>
    </xf>
    <xf numFmtId="0" fontId="29" fillId="0" borderId="0" xfId="0" applyFont="1" applyAlignment="1">
      <alignment horizontal="centerContinuous"/>
    </xf>
    <xf numFmtId="3" fontId="27" fillId="0" borderId="0" xfId="0" applyNumberFormat="1" applyFont="1" applyAlignment="1">
      <alignment horizontal="centerContinuous" vertical="center"/>
    </xf>
    <xf numFmtId="0" fontId="4" fillId="0" borderId="8" xfId="0" applyFont="1" applyBorder="1" applyAlignment="1">
      <alignment horizontal="left" vertical="center" wrapText="1" indent="1"/>
    </xf>
    <xf numFmtId="49" fontId="4" fillId="0" borderId="0" xfId="0" applyNumberFormat="1" applyFont="1" applyAlignment="1" applyProtection="1">
      <alignment horizontal="centerContinuous" vertical="center" wrapText="1"/>
      <protection locked="0"/>
    </xf>
    <xf numFmtId="0" fontId="4" fillId="0" borderId="0" xfId="0" applyFont="1" applyAlignment="1" applyProtection="1">
      <alignment horizontal="centerContinuous" vertical="center" wrapText="1"/>
      <protection locked="0"/>
    </xf>
    <xf numFmtId="49" fontId="8" fillId="0" borderId="0" xfId="0" applyNumberFormat="1" applyFont="1" applyAlignment="1" applyProtection="1">
      <alignment horizontal="centerContinuous" vertical="center" wrapText="1"/>
      <protection locked="0"/>
    </xf>
    <xf numFmtId="0" fontId="8" fillId="0" borderId="0" xfId="0" applyFont="1" applyAlignment="1" applyProtection="1">
      <alignment horizontal="centerContinuous" vertical="center" wrapText="1"/>
      <protection locked="0"/>
    </xf>
    <xf numFmtId="0" fontId="36" fillId="0" borderId="11" xfId="0" applyFont="1" applyBorder="1" applyAlignment="1">
      <alignment horizontal="center" vertical="center" wrapText="1"/>
    </xf>
    <xf numFmtId="0" fontId="36" fillId="0" borderId="11" xfId="0" applyFont="1" applyBorder="1" applyAlignment="1">
      <alignment horizontal="left" vertical="center" wrapText="1"/>
    </xf>
    <xf numFmtId="3" fontId="36" fillId="0" borderId="11" xfId="0" applyNumberFormat="1" applyFont="1" applyBorder="1" applyAlignment="1">
      <alignment horizontal="center" vertical="center" wrapText="1"/>
    </xf>
    <xf numFmtId="3" fontId="4" fillId="0" borderId="8" xfId="0" applyNumberFormat="1" applyFont="1" applyBorder="1" applyAlignment="1">
      <alignment horizontal="right" vertical="center"/>
    </xf>
    <xf numFmtId="3" fontId="9" fillId="0" borderId="11" xfId="0" applyNumberFormat="1" applyFont="1" applyBorder="1" applyAlignment="1">
      <alignment horizontal="right" vertical="center" wrapText="1"/>
    </xf>
    <xf numFmtId="0" fontId="9" fillId="0" borderId="8" xfId="0" applyFont="1" applyBorder="1" applyAlignment="1">
      <alignment horizontal="left" vertical="center" wrapText="1" indent="1"/>
    </xf>
    <xf numFmtId="0" fontId="9" fillId="0" borderId="14" xfId="0" applyFont="1" applyBorder="1" applyAlignment="1">
      <alignment horizontal="center" vertical="center"/>
    </xf>
    <xf numFmtId="0" fontId="9" fillId="0" borderId="14" xfId="0" applyFont="1" applyBorder="1" applyAlignment="1">
      <alignment horizontal="left" vertical="center" wrapText="1" indent="1"/>
    </xf>
    <xf numFmtId="3" fontId="9" fillId="0" borderId="14" xfId="0" applyNumberFormat="1" applyFont="1" applyBorder="1" applyAlignment="1">
      <alignment horizontal="right" vertical="center"/>
    </xf>
    <xf numFmtId="0" fontId="4" fillId="0" borderId="14" xfId="0" applyFont="1" applyBorder="1" applyAlignment="1">
      <alignment horizontal="center" vertical="center"/>
    </xf>
    <xf numFmtId="0" fontId="4" fillId="0" borderId="14" xfId="0" applyFont="1" applyBorder="1" applyAlignment="1">
      <alignment horizontal="left" vertical="center" wrapText="1" indent="1"/>
    </xf>
    <xf numFmtId="3" fontId="4" fillId="0" borderId="14" xfId="0" applyNumberFormat="1" applyFont="1" applyBorder="1" applyAlignment="1">
      <alignment horizontal="right" vertical="center"/>
    </xf>
    <xf numFmtId="0" fontId="9" fillId="0" borderId="14" xfId="0" applyFont="1" applyBorder="1" applyAlignment="1">
      <alignment horizontal="center" vertical="center" wrapText="1"/>
    </xf>
    <xf numFmtId="0" fontId="36" fillId="0" borderId="14" xfId="0" applyFont="1" applyBorder="1" applyAlignment="1">
      <alignment horizontal="center" vertical="center"/>
    </xf>
    <xf numFmtId="0" fontId="38" fillId="5" borderId="3" xfId="0" applyFont="1" applyFill="1" applyBorder="1" applyAlignment="1">
      <alignment horizontal="center" vertical="center"/>
    </xf>
    <xf numFmtId="0" fontId="58" fillId="0" borderId="0" xfId="0" applyFont="1" applyAlignment="1">
      <alignment horizontal="center" vertical="center"/>
    </xf>
    <xf numFmtId="0" fontId="58" fillId="0" borderId="0" xfId="0" applyFont="1" applyAlignment="1">
      <alignment horizontal="center" vertical="center" wrapText="1"/>
    </xf>
    <xf numFmtId="0" fontId="59" fillId="0" borderId="0" xfId="0" applyFont="1" applyAlignment="1">
      <alignment horizontal="center" vertical="center"/>
    </xf>
    <xf numFmtId="3" fontId="58" fillId="0" borderId="0" xfId="0" applyNumberFormat="1" applyFont="1" applyAlignment="1">
      <alignment vertical="center"/>
    </xf>
    <xf numFmtId="0" fontId="29" fillId="0" borderId="0" xfId="0" applyFont="1" applyAlignment="1">
      <alignment horizontal="left"/>
    </xf>
    <xf numFmtId="0" fontId="4" fillId="0" borderId="7" xfId="0" applyFont="1" applyBorder="1" applyAlignment="1" applyProtection="1">
      <alignment horizontal="center" vertical="center"/>
      <protection locked="0"/>
    </xf>
    <xf numFmtId="49" fontId="4" fillId="0" borderId="7" xfId="0" applyNumberFormat="1" applyFont="1" applyBorder="1" applyAlignment="1" applyProtection="1">
      <alignment vertical="center" wrapText="1"/>
      <protection locked="0"/>
    </xf>
    <xf numFmtId="0" fontId="4" fillId="0" borderId="7" xfId="0" applyFont="1" applyBorder="1" applyAlignment="1" applyProtection="1">
      <alignment horizontal="center" vertical="center" wrapText="1"/>
      <protection locked="0"/>
    </xf>
    <xf numFmtId="166" fontId="4" fillId="0" borderId="10" xfId="0" applyNumberFormat="1" applyFont="1" applyBorder="1" applyAlignment="1" applyProtection="1">
      <alignment vertical="center"/>
      <protection locked="0"/>
    </xf>
    <xf numFmtId="0" fontId="4" fillId="0" borderId="10" xfId="0" applyFont="1" applyBorder="1" applyAlignment="1" applyProtection="1">
      <alignment vertical="center"/>
      <protection locked="0"/>
    </xf>
    <xf numFmtId="179" fontId="35" fillId="6" borderId="3" xfId="0" applyNumberFormat="1" applyFont="1" applyFill="1" applyBorder="1" applyAlignment="1">
      <alignment horizontal="center" vertical="center"/>
    </xf>
    <xf numFmtId="0" fontId="61" fillId="0" borderId="0" xfId="0" applyFont="1"/>
    <xf numFmtId="0" fontId="0" fillId="0" borderId="0" xfId="0" applyAlignment="1">
      <alignment vertical="center"/>
    </xf>
    <xf numFmtId="0" fontId="30" fillId="0" borderId="8" xfId="0" applyFont="1" applyBorder="1" applyAlignment="1">
      <alignment horizontal="center" vertical="center" wrapText="1"/>
    </xf>
    <xf numFmtId="0" fontId="29" fillId="0" borderId="0" xfId="0" applyFont="1" applyAlignment="1">
      <alignment vertical="center" wrapText="1"/>
    </xf>
    <xf numFmtId="4" fontId="4" fillId="0" borderId="0" xfId="0" applyNumberFormat="1" applyFont="1" applyAlignment="1">
      <alignment vertical="center"/>
    </xf>
    <xf numFmtId="0" fontId="64" fillId="0" borderId="0" xfId="0" applyFont="1"/>
    <xf numFmtId="3" fontId="54" fillId="0" borderId="0" xfId="0" applyNumberFormat="1" applyFont="1" applyAlignment="1">
      <alignment horizontal="centerContinuous" vertical="center"/>
    </xf>
    <xf numFmtId="3" fontId="55" fillId="0" borderId="13" xfId="0" applyNumberFormat="1" applyFont="1" applyBorder="1" applyAlignment="1" applyProtection="1">
      <alignment horizontal="center" vertical="center"/>
      <protection locked="0"/>
    </xf>
    <xf numFmtId="3" fontId="43" fillId="0" borderId="0" xfId="0" applyNumberFormat="1" applyFont="1" applyAlignment="1">
      <alignment horizontal="right" vertical="center"/>
    </xf>
    <xf numFmtId="0" fontId="65" fillId="0" borderId="0" xfId="0" applyFont="1" applyAlignment="1">
      <alignment vertical="center"/>
    </xf>
    <xf numFmtId="0" fontId="64" fillId="0" borderId="0" xfId="0" applyFont="1" applyAlignment="1">
      <alignment horizontal="center" vertical="center"/>
    </xf>
    <xf numFmtId="0" fontId="64" fillId="0" borderId="0" xfId="0" applyFont="1" applyAlignment="1">
      <alignment horizontal="justify" vertical="center" wrapText="1"/>
    </xf>
    <xf numFmtId="0" fontId="64" fillId="0" borderId="0" xfId="0" applyFont="1" applyAlignment="1">
      <alignment vertical="center"/>
    </xf>
    <xf numFmtId="0" fontId="65" fillId="0" borderId="0" xfId="0" applyFont="1" applyAlignment="1">
      <alignment horizontal="center" vertical="center"/>
    </xf>
    <xf numFmtId="0" fontId="65" fillId="0" borderId="0" xfId="0" applyFont="1" applyAlignment="1">
      <alignment vertical="center" wrapText="1"/>
    </xf>
    <xf numFmtId="0" fontId="65" fillId="0" borderId="0" xfId="0" applyFont="1" applyAlignment="1">
      <alignment horizontal="center" vertical="center" wrapText="1"/>
    </xf>
    <xf numFmtId="166" fontId="65" fillId="0" borderId="0" xfId="0" applyNumberFormat="1" applyFont="1" applyAlignment="1">
      <alignment vertical="center"/>
    </xf>
    <xf numFmtId="3" fontId="4" fillId="0" borderId="0" xfId="0" applyNumberFormat="1" applyFont="1" applyAlignment="1">
      <alignment horizontal="centerContinuous" vertical="center"/>
    </xf>
    <xf numFmtId="3" fontId="65" fillId="0" borderId="0" xfId="0" applyNumberFormat="1" applyFont="1" applyAlignment="1">
      <alignment vertical="center"/>
    </xf>
    <xf numFmtId="3" fontId="4" fillId="0" borderId="8" xfId="0" applyNumberFormat="1" applyFont="1" applyBorder="1" applyAlignment="1">
      <alignment horizontal="center" vertical="center"/>
    </xf>
    <xf numFmtId="3" fontId="9" fillId="0" borderId="0" xfId="0" applyNumberFormat="1" applyFont="1" applyAlignment="1">
      <alignment horizontal="center" vertical="center"/>
    </xf>
    <xf numFmtId="3" fontId="29" fillId="0" borderId="0" xfId="0" applyNumberFormat="1" applyFont="1" applyAlignment="1">
      <alignment horizontal="centerContinuous"/>
    </xf>
    <xf numFmtId="3" fontId="36" fillId="0" borderId="0" xfId="0" applyNumberFormat="1" applyFont="1" applyAlignment="1">
      <alignment horizontal="center" vertical="center"/>
    </xf>
    <xf numFmtId="3" fontId="27" fillId="0" borderId="0" xfId="0" applyNumberFormat="1" applyFont="1" applyAlignment="1">
      <alignment horizontal="center" vertical="center"/>
    </xf>
    <xf numFmtId="3" fontId="0" fillId="0" borderId="0" xfId="0" applyNumberFormat="1"/>
    <xf numFmtId="0" fontId="7" fillId="0" borderId="0" xfId="0" applyFont="1" applyAlignment="1">
      <alignment horizontal="left" vertical="center"/>
    </xf>
    <xf numFmtId="0" fontId="68" fillId="0" borderId="0" xfId="0" applyFont="1" applyAlignment="1">
      <alignment horizontal="center" vertical="center" wrapText="1"/>
    </xf>
    <xf numFmtId="0" fontId="68" fillId="0" borderId="0" xfId="0" applyFont="1" applyAlignment="1">
      <alignment vertical="center" wrapText="1"/>
    </xf>
    <xf numFmtId="0" fontId="44" fillId="0" borderId="0" xfId="0" applyFont="1" applyAlignment="1">
      <alignment horizontal="centerContinuous" vertical="center" wrapText="1"/>
    </xf>
    <xf numFmtId="0" fontId="29" fillId="0" borderId="0" xfId="0" applyFont="1" applyAlignment="1">
      <alignment horizontal="centerContinuous" vertical="center" wrapText="1"/>
    </xf>
    <xf numFmtId="3" fontId="4" fillId="0" borderId="0" xfId="0" applyNumberFormat="1" applyFont="1" applyAlignment="1">
      <alignment vertical="center"/>
    </xf>
    <xf numFmtId="0" fontId="69" fillId="0" borderId="0" xfId="0" applyFont="1" applyAlignment="1">
      <alignment horizontal="centerContinuous" vertical="center"/>
    </xf>
    <xf numFmtId="0" fontId="70" fillId="0" borderId="0" xfId="0" applyFont="1" applyAlignment="1">
      <alignment horizontal="centerContinuous" vertical="center" wrapText="1"/>
    </xf>
    <xf numFmtId="0" fontId="71" fillId="0" borderId="0" xfId="0" applyFont="1" applyAlignment="1">
      <alignment horizontal="centerContinuous" vertical="center"/>
    </xf>
    <xf numFmtId="0" fontId="72" fillId="0" borderId="13" xfId="0" applyFont="1" applyBorder="1" applyAlignment="1" applyProtection="1">
      <alignment horizontal="center" vertical="center"/>
      <protection locked="0"/>
    </xf>
    <xf numFmtId="0" fontId="69" fillId="0" borderId="0" xfId="0" applyFont="1" applyAlignment="1">
      <alignment horizontal="centerContinuous" vertical="center" wrapText="1"/>
    </xf>
    <xf numFmtId="0" fontId="71" fillId="0" borderId="0" xfId="0" applyFont="1" applyAlignment="1">
      <alignment horizontal="centerContinuous" vertical="center" wrapText="1"/>
    </xf>
    <xf numFmtId="0" fontId="55" fillId="0" borderId="13" xfId="0" applyFont="1" applyBorder="1" applyAlignment="1" applyProtection="1">
      <alignment horizontal="justify" vertical="center" wrapText="1"/>
      <protection locked="0"/>
    </xf>
    <xf numFmtId="0" fontId="30" fillId="0" borderId="0" xfId="0" applyFont="1"/>
    <xf numFmtId="0" fontId="82" fillId="0" borderId="0" xfId="0" applyFont="1"/>
    <xf numFmtId="0" fontId="30" fillId="0" borderId="0" xfId="0" applyFont="1" applyAlignment="1">
      <alignment horizontal="center" vertical="center"/>
    </xf>
    <xf numFmtId="0" fontId="30" fillId="0" borderId="0" xfId="0" applyFont="1" applyAlignment="1">
      <alignment vertical="center"/>
    </xf>
    <xf numFmtId="4" fontId="30" fillId="0" borderId="0" xfId="0" applyNumberFormat="1" applyFont="1" applyAlignment="1" applyProtection="1">
      <alignment horizontal="center" vertical="center"/>
      <protection hidden="1"/>
    </xf>
    <xf numFmtId="4" fontId="40" fillId="0" borderId="0" xfId="0" applyNumberFormat="1" applyFont="1" applyAlignment="1" applyProtection="1">
      <alignment horizontal="center" vertical="center"/>
      <protection hidden="1"/>
    </xf>
    <xf numFmtId="166" fontId="30" fillId="0" borderId="0" xfId="0" applyNumberFormat="1" applyFont="1" applyAlignment="1" applyProtection="1">
      <alignment horizontal="center" vertical="center"/>
      <protection hidden="1"/>
    </xf>
    <xf numFmtId="171" fontId="9" fillId="0" borderId="0" xfId="0" applyNumberFormat="1" applyFont="1" applyAlignment="1">
      <alignment vertical="center"/>
    </xf>
    <xf numFmtId="0" fontId="4" fillId="0" borderId="9" xfId="0" applyFont="1" applyBorder="1" applyAlignment="1">
      <alignment horizontal="center" vertical="center" wrapText="1"/>
    </xf>
    <xf numFmtId="0" fontId="9" fillId="6" borderId="9" xfId="0" applyFont="1" applyFill="1" applyBorder="1" applyAlignment="1">
      <alignment vertical="center"/>
    </xf>
    <xf numFmtId="3" fontId="4" fillId="0" borderId="9" xfId="0" applyNumberFormat="1" applyFont="1" applyBorder="1" applyAlignment="1">
      <alignment horizontal="right" vertical="center"/>
    </xf>
    <xf numFmtId="0" fontId="83" fillId="0" borderId="4" xfId="0" applyFont="1" applyBorder="1" applyAlignment="1">
      <alignment horizontal="center" vertical="center"/>
    </xf>
    <xf numFmtId="0" fontId="4" fillId="0" borderId="0" xfId="0" quotePrefix="1" applyFont="1" applyAlignment="1">
      <alignment vertical="center"/>
    </xf>
    <xf numFmtId="0" fontId="29" fillId="0" borderId="0" xfId="0" quotePrefix="1" applyFont="1" applyAlignment="1">
      <alignment vertical="center"/>
    </xf>
    <xf numFmtId="49" fontId="4" fillId="6" borderId="3" xfId="0" applyNumberFormat="1" applyFont="1" applyFill="1" applyBorder="1" applyAlignment="1" applyProtection="1">
      <alignment horizontal="center" vertical="center" wrapText="1"/>
      <protection locked="0"/>
    </xf>
    <xf numFmtId="0" fontId="9" fillId="6" borderId="9" xfId="0" applyFont="1" applyFill="1" applyBorder="1" applyAlignment="1">
      <alignment horizontal="center" vertical="center"/>
    </xf>
    <xf numFmtId="3" fontId="9" fillId="6" borderId="9" xfId="0" applyNumberFormat="1" applyFont="1" applyFill="1" applyBorder="1" applyAlignment="1">
      <alignment vertical="center"/>
    </xf>
    <xf numFmtId="3" fontId="9" fillId="6" borderId="9" xfId="0" applyNumberFormat="1" applyFont="1" applyFill="1" applyBorder="1" applyAlignment="1">
      <alignment horizontal="center" vertical="center"/>
    </xf>
    <xf numFmtId="0" fontId="9" fillId="6" borderId="3" xfId="0" applyFont="1" applyFill="1" applyBorder="1" applyAlignment="1">
      <alignment horizontal="center" vertical="center"/>
    </xf>
    <xf numFmtId="3" fontId="9" fillId="6" borderId="3" xfId="0" applyNumberFormat="1" applyFont="1" applyFill="1" applyBorder="1" applyAlignment="1">
      <alignment horizontal="right" vertical="center"/>
    </xf>
    <xf numFmtId="0" fontId="83" fillId="0" borderId="4" xfId="0" applyFont="1" applyBorder="1" applyAlignment="1">
      <alignment horizontal="left" vertical="center"/>
    </xf>
    <xf numFmtId="0" fontId="45" fillId="0" borderId="0" xfId="0" applyFont="1" applyAlignment="1">
      <alignment vertical="center"/>
    </xf>
    <xf numFmtId="0" fontId="0" fillId="7" borderId="3" xfId="0" applyFill="1" applyBorder="1" applyAlignment="1">
      <alignment horizontal="center" vertical="center"/>
    </xf>
    <xf numFmtId="178" fontId="0" fillId="7" borderId="3" xfId="0" applyNumberFormat="1" applyFill="1" applyBorder="1" applyAlignment="1">
      <alignment vertical="center"/>
    </xf>
    <xf numFmtId="0" fontId="4" fillId="0" borderId="16" xfId="0" applyFont="1" applyBorder="1" applyAlignment="1">
      <alignment vertical="center"/>
    </xf>
    <xf numFmtId="0" fontId="4" fillId="0" borderId="17" xfId="0" applyFont="1" applyBorder="1" applyAlignment="1">
      <alignment vertical="center"/>
    </xf>
    <xf numFmtId="0" fontId="4" fillId="0" borderId="18" xfId="0" applyFont="1" applyBorder="1" applyAlignment="1">
      <alignment vertical="center"/>
    </xf>
    <xf numFmtId="0" fontId="4" fillId="0" borderId="1" xfId="0" applyFont="1" applyBorder="1" applyAlignment="1">
      <alignment horizontal="centerContinuous" vertical="center"/>
    </xf>
    <xf numFmtId="0" fontId="7" fillId="0" borderId="6" xfId="0" applyFont="1" applyBorder="1" applyAlignment="1">
      <alignment vertical="center"/>
    </xf>
    <xf numFmtId="0" fontId="7" fillId="0" borderId="0" xfId="0" applyFont="1" applyAlignment="1">
      <alignment vertical="center"/>
    </xf>
    <xf numFmtId="0" fontId="4" fillId="0" borderId="6" xfId="0" applyFont="1" applyBorder="1" applyAlignment="1">
      <alignment vertical="center"/>
    </xf>
    <xf numFmtId="0" fontId="11" fillId="0" borderId="6" xfId="0" applyFont="1" applyBorder="1" applyAlignment="1">
      <alignment horizontal="centerContinuous" vertical="center"/>
    </xf>
    <xf numFmtId="0" fontId="12" fillId="0" borderId="0" xfId="0" applyFont="1" applyAlignment="1">
      <alignment horizontal="centerContinuous" vertical="center"/>
    </xf>
    <xf numFmtId="0" fontId="12" fillId="0" borderId="1" xfId="0" applyFont="1" applyBorder="1" applyAlignment="1">
      <alignment horizontal="centerContinuous" vertical="center"/>
    </xf>
    <xf numFmtId="0" fontId="8" fillId="0" borderId="6" xfId="0" applyFont="1" applyBorder="1" applyAlignment="1">
      <alignment vertical="center"/>
    </xf>
    <xf numFmtId="0" fontId="8" fillId="0" borderId="0" xfId="0" applyFont="1" applyAlignment="1">
      <alignment vertical="center"/>
    </xf>
    <xf numFmtId="0" fontId="8" fillId="0" borderId="1" xfId="0" applyFont="1" applyBorder="1" applyAlignment="1">
      <alignment vertical="center"/>
    </xf>
    <xf numFmtId="0" fontId="7" fillId="0" borderId="1" xfId="0" applyFont="1" applyBorder="1" applyAlignment="1">
      <alignment vertical="center"/>
    </xf>
    <xf numFmtId="0" fontId="15" fillId="0" borderId="0" xfId="0" applyFont="1" applyAlignment="1">
      <alignment vertical="center"/>
    </xf>
    <xf numFmtId="0" fontId="61" fillId="0" borderId="0" xfId="0" applyFont="1" applyAlignment="1">
      <alignment vertical="center"/>
    </xf>
    <xf numFmtId="0" fontId="16" fillId="0" borderId="0" xfId="0" applyFont="1" applyAlignment="1">
      <alignment vertical="center"/>
    </xf>
    <xf numFmtId="0" fontId="4" fillId="0" borderId="1" xfId="0" applyFont="1" applyBorder="1" applyAlignment="1">
      <alignment vertical="center"/>
    </xf>
    <xf numFmtId="0" fontId="14" fillId="0" borderId="0" xfId="0" applyFont="1" applyAlignment="1">
      <alignment horizontal="center" vertical="center"/>
    </xf>
    <xf numFmtId="168" fontId="14" fillId="0" borderId="0" xfId="0" applyNumberFormat="1" applyFont="1" applyAlignment="1">
      <alignment vertical="center"/>
    </xf>
    <xf numFmtId="0" fontId="14" fillId="0" borderId="0" xfId="0" applyFont="1" applyAlignment="1">
      <alignment vertical="center"/>
    </xf>
    <xf numFmtId="169" fontId="14" fillId="0" borderId="0" xfId="0" applyNumberFormat="1" applyFont="1" applyAlignment="1">
      <alignment vertical="center"/>
    </xf>
    <xf numFmtId="170" fontId="14" fillId="0" borderId="0" xfId="0" applyNumberFormat="1" applyFont="1" applyAlignment="1">
      <alignment horizontal="left" vertical="center"/>
    </xf>
    <xf numFmtId="0" fontId="17" fillId="0" borderId="0" xfId="0" applyFont="1" applyAlignment="1">
      <alignment horizontal="centerContinuous" vertical="center"/>
    </xf>
    <xf numFmtId="0" fontId="4" fillId="0" borderId="19" xfId="0" applyFont="1" applyBorder="1" applyAlignment="1">
      <alignment vertical="center"/>
    </xf>
    <xf numFmtId="0" fontId="4" fillId="0" borderId="20" xfId="0" applyFont="1" applyBorder="1" applyAlignment="1">
      <alignment vertical="center"/>
    </xf>
    <xf numFmtId="0" fontId="4" fillId="0" borderId="21" xfId="0" applyFont="1" applyBorder="1" applyAlignment="1">
      <alignment vertical="center"/>
    </xf>
    <xf numFmtId="0" fontId="84" fillId="0" borderId="0" xfId="0" applyFont="1" applyAlignment="1">
      <alignment horizontal="centerContinuous" vertical="center"/>
    </xf>
    <xf numFmtId="0" fontId="13" fillId="0" borderId="0" xfId="0" applyFont="1" applyAlignment="1">
      <alignment vertical="center"/>
    </xf>
    <xf numFmtId="0" fontId="4" fillId="6" borderId="3" xfId="0" applyFont="1" applyFill="1" applyBorder="1" applyAlignment="1" applyProtection="1">
      <alignment horizontal="center" vertical="center" wrapText="1"/>
      <protection locked="0"/>
    </xf>
    <xf numFmtId="49" fontId="47" fillId="6" borderId="3" xfId="0" applyNumberFormat="1" applyFont="1" applyFill="1" applyBorder="1" applyAlignment="1">
      <alignment horizontal="center" vertical="center" wrapText="1"/>
    </xf>
    <xf numFmtId="0" fontId="85" fillId="0" borderId="3" xfId="0" applyFont="1" applyBorder="1" applyAlignment="1">
      <alignment horizontal="center" vertical="center" wrapText="1"/>
    </xf>
    <xf numFmtId="0" fontId="85" fillId="0" borderId="3" xfId="0" applyFont="1" applyBorder="1" applyAlignment="1">
      <alignment horizontal="center" vertical="center"/>
    </xf>
    <xf numFmtId="178" fontId="85" fillId="0" borderId="3" xfId="0" applyNumberFormat="1" applyFont="1" applyBorder="1" applyAlignment="1">
      <alignment vertical="center"/>
    </xf>
    <xf numFmtId="0" fontId="85" fillId="0" borderId="0" xfId="0" applyFont="1" applyAlignment="1">
      <alignment vertical="center"/>
    </xf>
    <xf numFmtId="0" fontId="25" fillId="6" borderId="3" xfId="0" applyFont="1" applyFill="1" applyBorder="1" applyAlignment="1" applyProtection="1">
      <alignment horizontal="center" vertical="center"/>
      <protection locked="0"/>
    </xf>
    <xf numFmtId="3" fontId="56" fillId="0" borderId="0" xfId="0" applyNumberFormat="1" applyFont="1" applyAlignment="1">
      <alignment horizontal="centerContinuous" vertical="center"/>
    </xf>
    <xf numFmtId="4" fontId="4" fillId="0" borderId="0" xfId="0" applyNumberFormat="1" applyFont="1" applyAlignment="1">
      <alignment horizontal="centerContinuous" vertical="center"/>
    </xf>
    <xf numFmtId="4" fontId="7" fillId="0" borderId="0" xfId="0" applyNumberFormat="1" applyFont="1" applyAlignment="1">
      <alignment horizontal="centerContinuous" vertical="center"/>
    </xf>
    <xf numFmtId="0" fontId="44" fillId="0" borderId="0" xfId="0" applyFont="1" applyAlignment="1">
      <alignment horizontal="centerContinuous" vertical="center"/>
    </xf>
    <xf numFmtId="0" fontId="80" fillId="0" borderId="0" xfId="0" applyFont="1" applyAlignment="1">
      <alignment horizontal="centerContinuous" vertical="center"/>
    </xf>
    <xf numFmtId="0" fontId="80" fillId="0" borderId="0" xfId="0" applyFont="1" applyAlignment="1" applyProtection="1">
      <alignment horizontal="centerContinuous" vertical="center"/>
      <protection locked="0"/>
    </xf>
    <xf numFmtId="0" fontId="81" fillId="0" borderId="0" xfId="0" applyFont="1" applyAlignment="1" applyProtection="1">
      <alignment horizontal="centerContinuous" vertical="center"/>
      <protection locked="0"/>
    </xf>
    <xf numFmtId="0" fontId="9" fillId="0" borderId="8" xfId="0" applyFont="1" applyBorder="1" applyAlignment="1">
      <alignment vertical="center"/>
    </xf>
    <xf numFmtId="3" fontId="51" fillId="0" borderId="0" xfId="0" applyNumberFormat="1" applyFont="1" applyAlignment="1">
      <alignment horizontal="centerContinuous" vertical="center"/>
    </xf>
    <xf numFmtId="3" fontId="14" fillId="0" borderId="0" xfId="0" applyNumberFormat="1" applyFont="1" applyAlignment="1">
      <alignment horizontal="center" vertical="center"/>
    </xf>
    <xf numFmtId="3" fontId="9" fillId="0" borderId="8" xfId="0" applyNumberFormat="1" applyFont="1" applyBorder="1" applyAlignment="1">
      <alignment horizontal="center" vertical="center"/>
    </xf>
    <xf numFmtId="3" fontId="38" fillId="3" borderId="9" xfId="0" applyNumberFormat="1" applyFont="1" applyFill="1" applyBorder="1" applyAlignment="1">
      <alignment horizontal="center" vertical="center"/>
    </xf>
    <xf numFmtId="0" fontId="0" fillId="0" borderId="0" xfId="0" applyAlignment="1">
      <alignment horizontal="center" vertical="center"/>
    </xf>
    <xf numFmtId="0" fontId="21" fillId="0" borderId="8" xfId="0" applyFont="1" applyBorder="1" applyAlignment="1">
      <alignment vertical="center" wrapText="1"/>
    </xf>
    <xf numFmtId="0" fontId="91" fillId="0" borderId="0" xfId="0" applyFont="1" applyAlignment="1">
      <alignment vertical="center"/>
    </xf>
    <xf numFmtId="0" fontId="0" fillId="0" borderId="0" xfId="0" applyAlignment="1">
      <alignment vertical="center" wrapText="1"/>
    </xf>
    <xf numFmtId="0" fontId="4" fillId="0" borderId="8" xfId="0" quotePrefix="1" applyFont="1" applyBorder="1" applyAlignment="1">
      <alignment vertical="center" wrapText="1"/>
    </xf>
    <xf numFmtId="3" fontId="4" fillId="0" borderId="0" xfId="0" applyNumberFormat="1" applyFont="1" applyAlignment="1">
      <alignment horizontal="right" vertical="center"/>
    </xf>
    <xf numFmtId="0" fontId="4" fillId="0" borderId="0" xfId="0" applyFont="1" applyAlignment="1">
      <alignment wrapText="1"/>
    </xf>
    <xf numFmtId="0" fontId="4" fillId="0" borderId="0" xfId="0" applyFont="1" applyAlignment="1">
      <alignment horizontal="right" vertical="center"/>
    </xf>
    <xf numFmtId="0" fontId="93" fillId="0" borderId="0" xfId="0" applyFont="1" applyAlignment="1">
      <alignment horizontal="centerContinuous" vertical="center"/>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vertical="center"/>
    </xf>
    <xf numFmtId="0" fontId="108" fillId="0" borderId="8" xfId="0" applyFont="1" applyBorder="1" applyAlignment="1">
      <alignment horizontal="center" vertical="center"/>
    </xf>
    <xf numFmtId="0" fontId="108" fillId="0" borderId="8" xfId="0" applyFont="1" applyBorder="1" applyAlignment="1">
      <alignment vertical="center"/>
    </xf>
    <xf numFmtId="9" fontId="108" fillId="0" borderId="8" xfId="0" applyNumberFormat="1" applyFont="1" applyBorder="1" applyAlignment="1">
      <alignment vertical="center"/>
    </xf>
    <xf numFmtId="0" fontId="108" fillId="0" borderId="9" xfId="0" applyFont="1" applyBorder="1" applyAlignment="1">
      <alignment vertical="center"/>
    </xf>
    <xf numFmtId="0" fontId="4" fillId="0" borderId="7" xfId="0" applyFont="1" applyBorder="1" applyAlignment="1">
      <alignment vertical="center"/>
    </xf>
    <xf numFmtId="0" fontId="93" fillId="0" borderId="0" xfId="0" applyFont="1" applyAlignment="1">
      <alignment horizontal="centerContinuous" vertical="center" wrapText="1"/>
    </xf>
    <xf numFmtId="3" fontId="0" fillId="0" borderId="0" xfId="0" applyNumberFormat="1" applyAlignment="1">
      <alignment horizontal="center" vertical="center" wrapText="1"/>
    </xf>
    <xf numFmtId="0" fontId="0" fillId="0" borderId="0" xfId="0" applyAlignment="1">
      <alignment horizontal="center" vertical="center" wrapText="1"/>
    </xf>
    <xf numFmtId="0" fontId="108" fillId="0" borderId="0" xfId="0" applyFont="1" applyAlignment="1">
      <alignment vertical="center"/>
    </xf>
    <xf numFmtId="0" fontId="9" fillId="0" borderId="9" xfId="0" applyFont="1" applyBorder="1" applyAlignment="1">
      <alignment horizontal="center" vertical="center" wrapText="1"/>
    </xf>
    <xf numFmtId="3" fontId="9" fillId="0" borderId="9" xfId="0" applyNumberFormat="1" applyFont="1" applyBorder="1" applyAlignment="1">
      <alignment vertical="center"/>
    </xf>
    <xf numFmtId="0" fontId="110" fillId="0" borderId="0" xfId="0" applyFont="1" applyAlignment="1">
      <alignment horizontal="centerContinuous" vertical="center"/>
    </xf>
    <xf numFmtId="0" fontId="111" fillId="0" borderId="0" xfId="0" applyFont="1" applyAlignment="1">
      <alignment horizontal="centerContinuous" vertical="center" wrapText="1"/>
    </xf>
    <xf numFmtId="0" fontId="111" fillId="0" borderId="0" xfId="0" applyFont="1" applyAlignment="1">
      <alignment horizontal="centerContinuous" vertical="center"/>
    </xf>
    <xf numFmtId="0" fontId="108" fillId="0" borderId="14" xfId="0" applyFont="1" applyBorder="1" applyAlignment="1">
      <alignment horizontal="center" vertical="center"/>
    </xf>
    <xf numFmtId="9" fontId="4" fillId="0" borderId="7" xfId="0" quotePrefix="1" applyNumberFormat="1" applyFont="1" applyBorder="1" applyAlignment="1">
      <alignment horizontal="right" vertical="center"/>
    </xf>
    <xf numFmtId="0" fontId="108" fillId="0" borderId="14" xfId="0" applyFont="1" applyBorder="1" applyAlignment="1">
      <alignment vertical="center"/>
    </xf>
    <xf numFmtId="0" fontId="108" fillId="0" borderId="9" xfId="0" applyFont="1" applyBorder="1" applyAlignment="1">
      <alignment horizontal="center" vertical="center"/>
    </xf>
    <xf numFmtId="9" fontId="108" fillId="0" borderId="9" xfId="0" applyNumberFormat="1" applyFont="1" applyBorder="1" applyAlignment="1">
      <alignment vertical="center"/>
    </xf>
    <xf numFmtId="0" fontId="4" fillId="0" borderId="9" xfId="0" applyFont="1" applyBorder="1" applyAlignment="1">
      <alignment horizontal="center" vertical="center"/>
    </xf>
    <xf numFmtId="0" fontId="8" fillId="0" borderId="0" xfId="0" applyFont="1" applyAlignment="1">
      <alignment horizontal="centerContinuous" vertical="center" wrapText="1"/>
    </xf>
    <xf numFmtId="0" fontId="90" fillId="0" borderId="0" xfId="0" applyFont="1" applyAlignment="1">
      <alignment horizontal="centerContinuous" vertical="center" wrapText="1"/>
    </xf>
    <xf numFmtId="0" fontId="91" fillId="0" borderId="0" xfId="0" applyFont="1" applyAlignment="1">
      <alignment horizontal="centerContinuous" vertical="center" wrapText="1"/>
    </xf>
    <xf numFmtId="49" fontId="4" fillId="0" borderId="0" xfId="0" applyNumberFormat="1" applyFont="1" applyAlignment="1">
      <alignment vertical="center"/>
    </xf>
    <xf numFmtId="0" fontId="64" fillId="0" borderId="0" xfId="0" applyFont="1" applyAlignment="1">
      <alignment horizontal="left" vertical="center"/>
    </xf>
    <xf numFmtId="0" fontId="27" fillId="0" borderId="0" xfId="0" applyFont="1" applyAlignment="1">
      <alignment horizontal="centerContinuous" vertical="center"/>
    </xf>
    <xf numFmtId="9" fontId="4" fillId="0" borderId="8" xfId="0" applyNumberFormat="1" applyFont="1" applyBorder="1" applyAlignment="1">
      <alignment horizontal="center" vertical="center"/>
    </xf>
    <xf numFmtId="0" fontId="77" fillId="0" borderId="0" xfId="0" applyFont="1" applyAlignment="1">
      <alignment horizontal="centerContinuous" vertical="center"/>
    </xf>
    <xf numFmtId="0" fontId="0" fillId="0" borderId="0" xfId="0" applyAlignment="1">
      <alignment horizontal="centerContinuous" vertical="center"/>
    </xf>
    <xf numFmtId="0" fontId="29" fillId="8" borderId="4" xfId="0" applyFont="1" applyFill="1" applyBorder="1" applyAlignment="1">
      <alignment horizontal="center" vertical="center"/>
    </xf>
    <xf numFmtId="0" fontId="29" fillId="8" borderId="4" xfId="0" applyFont="1" applyFill="1" applyBorder="1" applyAlignment="1">
      <alignment vertical="center"/>
    </xf>
    <xf numFmtId="0" fontId="29" fillId="8" borderId="4" xfId="0" applyFont="1" applyFill="1" applyBorder="1" applyAlignment="1">
      <alignment horizontal="center" vertical="center" wrapText="1"/>
    </xf>
    <xf numFmtId="0" fontId="29" fillId="8" borderId="4" xfId="0" applyFont="1" applyFill="1" applyBorder="1" applyAlignment="1">
      <alignment horizontal="center" vertical="top" wrapText="1"/>
    </xf>
    <xf numFmtId="3" fontId="29" fillId="8" borderId="4" xfId="0" applyNumberFormat="1" applyFont="1" applyFill="1" applyBorder="1" applyAlignment="1">
      <alignment horizontal="right" vertical="center"/>
    </xf>
    <xf numFmtId="0" fontId="29" fillId="8" borderId="9" xfId="0" applyFont="1" applyFill="1" applyBorder="1" applyAlignment="1">
      <alignment horizontal="center" vertical="center"/>
    </xf>
    <xf numFmtId="0" fontId="29" fillId="8" borderId="9" xfId="0" applyFont="1" applyFill="1" applyBorder="1" applyAlignment="1">
      <alignment horizontal="center" vertical="top" wrapText="1"/>
    </xf>
    <xf numFmtId="3" fontId="29" fillId="8" borderId="9" xfId="0" applyNumberFormat="1" applyFont="1" applyFill="1" applyBorder="1" applyAlignment="1">
      <alignment horizontal="right" vertical="center"/>
    </xf>
    <xf numFmtId="3" fontId="29" fillId="0" borderId="0" xfId="0" applyNumberFormat="1" applyFont="1" applyAlignment="1">
      <alignment horizontal="right"/>
    </xf>
    <xf numFmtId="3" fontId="4" fillId="0" borderId="9" xfId="0" applyNumberFormat="1" applyFont="1" applyBorder="1" applyAlignment="1">
      <alignment horizontal="center" vertical="center"/>
    </xf>
    <xf numFmtId="0" fontId="7" fillId="0" borderId="0" xfId="0" applyFont="1" applyAlignment="1" applyProtection="1">
      <alignment horizontal="center" vertical="center"/>
      <protection locked="0"/>
    </xf>
    <xf numFmtId="0" fontId="9" fillId="0" borderId="4" xfId="0" applyFont="1" applyBorder="1" applyAlignment="1">
      <alignment vertical="center"/>
    </xf>
    <xf numFmtId="0" fontId="112" fillId="0" borderId="0" xfId="0" applyFont="1" applyAlignment="1">
      <alignment horizontal="centerContinuous" vertical="center"/>
    </xf>
    <xf numFmtId="0" fontId="4" fillId="0" borderId="0" xfId="0" applyFont="1" applyAlignment="1">
      <alignment horizontal="left" vertical="center"/>
    </xf>
    <xf numFmtId="173" fontId="4" fillId="0" borderId="8" xfId="0" applyNumberFormat="1" applyFont="1" applyBorder="1" applyAlignment="1">
      <alignment horizontal="center" vertical="center" wrapText="1"/>
    </xf>
    <xf numFmtId="9" fontId="4" fillId="0" borderId="8" xfId="0" applyNumberFormat="1" applyFont="1" applyBorder="1" applyAlignment="1">
      <alignment horizontal="center" vertical="center" wrapText="1"/>
    </xf>
    <xf numFmtId="0" fontId="114" fillId="0" borderId="0" xfId="0" applyFont="1" applyAlignment="1">
      <alignment horizontal="centerContinuous" vertical="center"/>
    </xf>
    <xf numFmtId="0" fontId="7" fillId="0" borderId="0" xfId="0" applyFont="1" applyAlignment="1">
      <alignment horizontal="center" vertical="center"/>
    </xf>
    <xf numFmtId="0" fontId="98" fillId="0" borderId="0" xfId="0" applyFont="1" applyAlignment="1">
      <alignment horizontal="center" vertical="center"/>
    </xf>
    <xf numFmtId="0" fontId="115" fillId="0" borderId="0" xfId="0" applyFont="1" applyAlignment="1">
      <alignment vertical="center"/>
    </xf>
    <xf numFmtId="3" fontId="7" fillId="0" borderId="0" xfId="0" applyNumberFormat="1" applyFont="1" applyAlignment="1">
      <alignment vertical="center"/>
    </xf>
    <xf numFmtId="0" fontId="100" fillId="0" borderId="0" xfId="0" applyFont="1" applyAlignment="1">
      <alignment vertical="center"/>
    </xf>
    <xf numFmtId="0" fontId="115" fillId="0" borderId="0" xfId="0" applyFont="1" applyAlignment="1">
      <alignment horizontal="center" vertical="center"/>
    </xf>
    <xf numFmtId="0" fontId="7" fillId="0" borderId="0" xfId="0" applyFont="1" applyAlignment="1">
      <alignment horizontal="center" vertical="center" wrapText="1"/>
    </xf>
    <xf numFmtId="173" fontId="7" fillId="0" borderId="0" xfId="0" applyNumberFormat="1" applyFont="1" applyAlignment="1">
      <alignment horizontal="center" vertical="center"/>
    </xf>
    <xf numFmtId="9" fontId="7" fillId="0" borderId="0" xfId="0" applyNumberFormat="1" applyFont="1" applyAlignment="1">
      <alignment horizontal="center" vertical="center"/>
    </xf>
    <xf numFmtId="0" fontId="7" fillId="0" borderId="12" xfId="0" applyFont="1" applyBorder="1" applyAlignment="1">
      <alignment vertical="center"/>
    </xf>
    <xf numFmtId="172" fontId="7" fillId="0" borderId="7" xfId="0" applyNumberFormat="1" applyFont="1" applyBorder="1" applyAlignment="1">
      <alignment vertical="center"/>
    </xf>
    <xf numFmtId="1" fontId="7" fillId="0" borderId="22" xfId="0" applyNumberFormat="1" applyFont="1" applyBorder="1" applyAlignment="1">
      <alignment horizontal="left" vertical="justify"/>
    </xf>
    <xf numFmtId="3" fontId="7" fillId="0" borderId="0" xfId="0" applyNumberFormat="1" applyFont="1" applyAlignment="1">
      <alignment horizontal="center" vertical="center"/>
    </xf>
    <xf numFmtId="0" fontId="7" fillId="0" borderId="0" xfId="0" applyFont="1" applyAlignment="1">
      <alignment vertical="center" wrapText="1"/>
    </xf>
    <xf numFmtId="0" fontId="100" fillId="0" borderId="0" xfId="0" applyFont="1" applyAlignment="1">
      <alignment vertical="center" wrapText="1"/>
    </xf>
    <xf numFmtId="0" fontId="7" fillId="0" borderId="22" xfId="0" applyFont="1" applyBorder="1" applyAlignment="1">
      <alignment vertical="center"/>
    </xf>
    <xf numFmtId="1" fontId="7" fillId="0" borderId="23" xfId="0" applyNumberFormat="1" applyFont="1" applyBorder="1" applyAlignment="1">
      <alignment horizontal="left" vertical="justify"/>
    </xf>
    <xf numFmtId="0" fontId="7" fillId="0" borderId="22" xfId="0" applyFont="1" applyBorder="1" applyAlignment="1">
      <alignment horizontal="center" vertical="center"/>
    </xf>
    <xf numFmtId="0" fontId="115" fillId="0" borderId="0" xfId="0" applyFont="1"/>
    <xf numFmtId="172" fontId="7" fillId="0" borderId="0" xfId="0" applyNumberFormat="1" applyFont="1" applyAlignment="1">
      <alignment vertical="center"/>
    </xf>
    <xf numFmtId="3" fontId="7" fillId="0" borderId="22" xfId="0" applyNumberFormat="1" applyFont="1" applyBorder="1" applyAlignment="1">
      <alignment horizontal="center" vertical="center"/>
    </xf>
    <xf numFmtId="0" fontId="7" fillId="0" borderId="24" xfId="0" applyFont="1" applyBorder="1" applyAlignment="1">
      <alignment vertical="center"/>
    </xf>
    <xf numFmtId="0" fontId="97" fillId="0" borderId="0" xfId="0" applyFont="1"/>
    <xf numFmtId="0" fontId="8" fillId="0" borderId="22" xfId="0" applyFont="1" applyBorder="1" applyAlignment="1">
      <alignment horizontal="center" vertical="center"/>
    </xf>
    <xf numFmtId="1" fontId="7" fillId="0" borderId="15" xfId="0" applyNumberFormat="1" applyFont="1" applyBorder="1" applyAlignment="1">
      <alignment horizontal="left" vertical="justify"/>
    </xf>
    <xf numFmtId="0" fontId="115" fillId="0" borderId="24" xfId="0" applyFont="1" applyBorder="1" applyAlignment="1">
      <alignment vertical="center"/>
    </xf>
    <xf numFmtId="0" fontId="4" fillId="0" borderId="25" xfId="0" applyFont="1" applyBorder="1" applyAlignment="1">
      <alignment horizontal="left" vertical="center"/>
    </xf>
    <xf numFmtId="0" fontId="116" fillId="0" borderId="0" xfId="0" applyFont="1" applyAlignment="1">
      <alignment vertical="center"/>
    </xf>
    <xf numFmtId="0" fontId="116" fillId="0" borderId="0" xfId="0" applyFont="1" applyAlignment="1">
      <alignment horizontal="center" vertical="center"/>
    </xf>
    <xf numFmtId="0" fontId="4" fillId="0" borderId="8" xfId="0" applyFont="1" applyBorder="1" applyAlignment="1">
      <alignment vertical="center"/>
    </xf>
    <xf numFmtId="0" fontId="4" fillId="0" borderId="8" xfId="0" quotePrefix="1" applyFont="1" applyBorder="1" applyAlignment="1">
      <alignment vertical="center"/>
    </xf>
    <xf numFmtId="3" fontId="4" fillId="0" borderId="8" xfId="0" applyNumberFormat="1" applyFont="1" applyBorder="1" applyAlignment="1">
      <alignment horizontal="center" vertical="center" wrapText="1"/>
    </xf>
    <xf numFmtId="0" fontId="4" fillId="12" borderId="8" xfId="0" applyFont="1" applyFill="1" applyBorder="1" applyAlignment="1">
      <alignment vertical="center" wrapText="1"/>
    </xf>
    <xf numFmtId="3" fontId="4" fillId="0" borderId="0" xfId="0" applyNumberFormat="1" applyFont="1" applyAlignment="1">
      <alignment horizontal="center" vertical="center" wrapText="1"/>
    </xf>
    <xf numFmtId="3" fontId="4" fillId="0" borderId="0" xfId="0" applyNumberFormat="1" applyFont="1" applyAlignment="1">
      <alignment vertical="center" wrapText="1"/>
    </xf>
    <xf numFmtId="0" fontId="9" fillId="0" borderId="0" xfId="0" applyFont="1" applyAlignment="1">
      <alignment vertical="center" wrapText="1"/>
    </xf>
    <xf numFmtId="3" fontId="3" fillId="0" borderId="0" xfId="0" applyNumberFormat="1" applyFont="1" applyAlignment="1">
      <alignment vertical="center" wrapText="1"/>
    </xf>
    <xf numFmtId="2" fontId="32" fillId="0" borderId="0" xfId="0" applyNumberFormat="1" applyFont="1" applyAlignment="1">
      <alignment vertical="center"/>
    </xf>
    <xf numFmtId="2" fontId="34" fillId="5" borderId="3" xfId="0" applyNumberFormat="1" applyFont="1" applyFill="1" applyBorder="1" applyAlignment="1">
      <alignment horizontal="center" vertical="center"/>
    </xf>
    <xf numFmtId="2" fontId="9" fillId="0" borderId="8" xfId="0" applyNumberFormat="1" applyFont="1" applyBorder="1" applyAlignment="1">
      <alignment horizontal="center" vertical="center"/>
    </xf>
    <xf numFmtId="2" fontId="0" fillId="0" borderId="0" xfId="0" applyNumberFormat="1"/>
    <xf numFmtId="2" fontId="28" fillId="0" borderId="0" xfId="0" applyNumberFormat="1" applyFont="1"/>
    <xf numFmtId="2" fontId="9" fillId="0" borderId="0" xfId="0" applyNumberFormat="1" applyFont="1" applyAlignment="1">
      <alignment vertical="center" wrapText="1"/>
    </xf>
    <xf numFmtId="2" fontId="4" fillId="0" borderId="0" xfId="0" applyNumberFormat="1" applyFont="1"/>
    <xf numFmtId="2" fontId="7" fillId="0" borderId="0" xfId="0" applyNumberFormat="1" applyFont="1"/>
    <xf numFmtId="2" fontId="4" fillId="0" borderId="0" xfId="0" applyNumberFormat="1" applyFont="1" applyAlignment="1">
      <alignment vertical="center" wrapText="1"/>
    </xf>
    <xf numFmtId="2" fontId="9" fillId="0" borderId="0" xfId="0" applyNumberFormat="1" applyFont="1" applyAlignment="1">
      <alignment horizontal="center" vertical="center" wrapText="1"/>
    </xf>
    <xf numFmtId="2" fontId="9" fillId="0" borderId="0" xfId="0" applyNumberFormat="1" applyFont="1" applyAlignment="1">
      <alignment vertical="center"/>
    </xf>
    <xf numFmtId="2" fontId="4" fillId="0" borderId="0" xfId="0" applyNumberFormat="1" applyFont="1" applyAlignment="1">
      <alignment vertical="center"/>
    </xf>
    <xf numFmtId="2" fontId="9" fillId="0" borderId="0" xfId="0" applyNumberFormat="1" applyFont="1" applyAlignment="1">
      <alignment horizontal="center" vertical="center"/>
    </xf>
    <xf numFmtId="2" fontId="4" fillId="0" borderId="0" xfId="0" applyNumberFormat="1" applyFont="1" applyAlignment="1">
      <alignment wrapText="1"/>
    </xf>
    <xf numFmtId="2" fontId="9" fillId="0" borderId="0" xfId="0" applyNumberFormat="1" applyFont="1"/>
    <xf numFmtId="0" fontId="4" fillId="0" borderId="4" xfId="0" applyFont="1" applyBorder="1" applyAlignment="1">
      <alignment horizontal="center" vertical="center"/>
    </xf>
    <xf numFmtId="0" fontId="4" fillId="0" borderId="4" xfId="0" applyFont="1" applyBorder="1" applyAlignment="1">
      <alignment vertical="center"/>
    </xf>
    <xf numFmtId="3" fontId="4" fillId="0" borderId="4" xfId="0" applyNumberFormat="1" applyFont="1" applyBorder="1" applyAlignment="1">
      <alignment vertical="center"/>
    </xf>
    <xf numFmtId="9" fontId="4" fillId="0" borderId="4" xfId="0" applyNumberFormat="1" applyFont="1" applyBorder="1" applyAlignment="1">
      <alignment horizontal="center" vertical="center"/>
    </xf>
    <xf numFmtId="185" fontId="4" fillId="0" borderId="8" xfId="0" applyNumberFormat="1" applyFont="1" applyBorder="1" applyAlignment="1">
      <alignment horizontal="center" vertical="center"/>
    </xf>
    <xf numFmtId="3" fontId="4" fillId="0" borderId="9" xfId="0" applyNumberFormat="1" applyFont="1" applyBorder="1" applyAlignment="1">
      <alignment vertical="center"/>
    </xf>
    <xf numFmtId="9" fontId="4" fillId="0" borderId="9" xfId="0" applyNumberFormat="1" applyFont="1" applyBorder="1" applyAlignment="1">
      <alignment horizontal="center" vertical="center"/>
    </xf>
    <xf numFmtId="2" fontId="91" fillId="0" borderId="0" xfId="0" applyNumberFormat="1" applyFont="1" applyAlignment="1">
      <alignment vertical="center"/>
    </xf>
    <xf numFmtId="2" fontId="0" fillId="0" borderId="0" xfId="0" applyNumberFormat="1" applyAlignment="1">
      <alignment vertical="center"/>
    </xf>
    <xf numFmtId="2" fontId="116" fillId="0" borderId="0" xfId="0" applyNumberFormat="1" applyFont="1" applyAlignment="1">
      <alignment vertical="center"/>
    </xf>
    <xf numFmtId="2" fontId="44" fillId="0" borderId="0" xfId="0" applyNumberFormat="1" applyFont="1" applyAlignment="1">
      <alignment vertical="center"/>
    </xf>
    <xf numFmtId="2" fontId="117" fillId="0" borderId="0" xfId="0" applyNumberFormat="1" applyFont="1" applyAlignment="1">
      <alignment vertical="center"/>
    </xf>
    <xf numFmtId="2" fontId="29" fillId="0" borderId="0" xfId="0" applyNumberFormat="1" applyFont="1"/>
    <xf numFmtId="2" fontId="4" fillId="0" borderId="8" xfId="0" applyNumberFormat="1" applyFont="1" applyBorder="1" applyAlignment="1">
      <alignment horizontal="center" vertical="center"/>
    </xf>
    <xf numFmtId="2" fontId="4" fillId="0" borderId="8" xfId="0" applyNumberFormat="1" applyFont="1" applyBorder="1" applyAlignment="1" applyProtection="1">
      <alignment horizontal="center" vertical="center"/>
      <protection hidden="1"/>
    </xf>
    <xf numFmtId="49" fontId="32" fillId="0" borderId="0" xfId="0" applyNumberFormat="1" applyFont="1" applyAlignment="1">
      <alignment vertical="center"/>
    </xf>
    <xf numFmtId="49" fontId="9" fillId="0" borderId="8" xfId="0" applyNumberFormat="1" applyFont="1" applyBorder="1" applyAlignment="1">
      <alignment horizontal="center" vertical="center"/>
    </xf>
    <xf numFmtId="49" fontId="9" fillId="0" borderId="0" xfId="0" applyNumberFormat="1" applyFont="1" applyAlignment="1">
      <alignment horizontal="center" vertical="center"/>
    </xf>
    <xf numFmtId="0" fontId="4" fillId="0" borderId="9" xfId="0" applyFont="1" applyBorder="1" applyAlignment="1">
      <alignment horizontal="left" vertical="center"/>
    </xf>
    <xf numFmtId="0" fontId="4" fillId="2" borderId="9" xfId="0" applyFont="1" applyFill="1" applyBorder="1" applyAlignment="1">
      <alignment horizontal="left" vertical="center" wrapText="1"/>
    </xf>
    <xf numFmtId="184" fontId="4" fillId="0" borderId="9" xfId="0" applyNumberFormat="1" applyFont="1" applyBorder="1" applyAlignment="1">
      <alignment vertical="center"/>
    </xf>
    <xf numFmtId="0" fontId="7" fillId="0" borderId="3" xfId="0" applyFont="1" applyBorder="1" applyAlignment="1">
      <alignment vertical="center"/>
    </xf>
    <xf numFmtId="0" fontId="118" fillId="0" borderId="0" xfId="0" applyFont="1" applyAlignment="1">
      <alignment horizontal="center"/>
    </xf>
    <xf numFmtId="0" fontId="118" fillId="0" borderId="0" xfId="0" applyFont="1"/>
    <xf numFmtId="188" fontId="118" fillId="0" borderId="0" xfId="0" applyNumberFormat="1" applyFont="1" applyAlignment="1">
      <alignment horizontal="center"/>
    </xf>
    <xf numFmtId="0" fontId="119" fillId="0" borderId="0" xfId="0" applyFont="1"/>
    <xf numFmtId="0" fontId="119" fillId="0" borderId="0" xfId="0" applyFont="1" applyAlignment="1">
      <alignment vertical="center"/>
    </xf>
    <xf numFmtId="188" fontId="119" fillId="0" borderId="0" xfId="0" applyNumberFormat="1" applyFont="1" applyAlignment="1">
      <alignment vertical="center"/>
    </xf>
    <xf numFmtId="0" fontId="120" fillId="0" borderId="0" xfId="0" applyFont="1"/>
    <xf numFmtId="0" fontId="9" fillId="0" borderId="5" xfId="0" applyFont="1" applyBorder="1" applyAlignment="1">
      <alignment horizontal="centerContinuous"/>
    </xf>
    <xf numFmtId="0" fontId="9" fillId="0" borderId="2" xfId="0" applyFont="1" applyBorder="1" applyAlignment="1">
      <alignment horizontal="centerContinuous"/>
    </xf>
    <xf numFmtId="0" fontId="9" fillId="0" borderId="15" xfId="0" applyFont="1" applyBorder="1" applyAlignment="1">
      <alignment horizontal="centerContinuous"/>
    </xf>
    <xf numFmtId="0" fontId="118" fillId="0" borderId="24" xfId="0" applyFont="1" applyBorder="1"/>
    <xf numFmtId="0" fontId="9" fillId="0" borderId="3" xfId="0" applyFont="1" applyBorder="1"/>
    <xf numFmtId="0" fontId="4" fillId="0" borderId="7" xfId="0" applyFont="1" applyBorder="1" applyAlignment="1">
      <alignment horizontal="center"/>
    </xf>
    <xf numFmtId="188" fontId="4" fillId="0" borderId="7" xfId="0" applyNumberFormat="1" applyFont="1" applyBorder="1" applyAlignment="1">
      <alignment horizontal="center"/>
    </xf>
    <xf numFmtId="0" fontId="4" fillId="13" borderId="7" xfId="0" applyFont="1" applyFill="1" applyBorder="1" applyAlignment="1">
      <alignment horizontal="center"/>
    </xf>
    <xf numFmtId="0" fontId="4" fillId="0" borderId="12" xfId="0" applyFont="1" applyBorder="1" applyAlignment="1">
      <alignment horizontal="center"/>
    </xf>
    <xf numFmtId="0" fontId="9" fillId="0" borderId="7" xfId="0" applyFont="1" applyBorder="1"/>
    <xf numFmtId="0" fontId="118" fillId="0" borderId="24" xfId="0" applyFont="1" applyBorder="1" applyAlignment="1">
      <alignment horizontal="center"/>
    </xf>
    <xf numFmtId="0" fontId="118" fillId="0" borderId="22" xfId="0" applyFont="1" applyBorder="1"/>
    <xf numFmtId="0" fontId="4" fillId="0" borderId="10" xfId="0" applyFont="1" applyBorder="1" applyAlignment="1">
      <alignment horizontal="center"/>
    </xf>
    <xf numFmtId="188" fontId="4" fillId="0" borderId="10" xfId="0" applyNumberFormat="1" applyFont="1" applyBorder="1" applyAlignment="1">
      <alignment horizontal="center"/>
    </xf>
    <xf numFmtId="0" fontId="9" fillId="0" borderId="10" xfId="0" applyFont="1" applyBorder="1"/>
    <xf numFmtId="0" fontId="118" fillId="0" borderId="13" xfId="0" applyFont="1" applyBorder="1" applyAlignment="1">
      <alignment horizontal="center"/>
    </xf>
    <xf numFmtId="0" fontId="118" fillId="0" borderId="13" xfId="0" applyFont="1" applyBorder="1"/>
    <xf numFmtId="0" fontId="118" fillId="0" borderId="26" xfId="0" applyFont="1" applyBorder="1"/>
    <xf numFmtId="0" fontId="121" fillId="0" borderId="0" xfId="0" applyFont="1" applyAlignment="1">
      <alignment horizontal="left" wrapText="1"/>
    </xf>
    <xf numFmtId="0" fontId="119" fillId="0" borderId="0" xfId="0" applyFont="1" applyAlignment="1">
      <alignment vertical="center" wrapText="1"/>
    </xf>
    <xf numFmtId="2" fontId="118" fillId="0" borderId="0" xfId="0" applyNumberFormat="1" applyFont="1"/>
    <xf numFmtId="2" fontId="118" fillId="0" borderId="0" xfId="0" applyNumberFormat="1" applyFont="1" applyAlignment="1">
      <alignment horizontal="center"/>
    </xf>
    <xf numFmtId="2" fontId="121" fillId="0" borderId="0" xfId="0" applyNumberFormat="1" applyFont="1"/>
    <xf numFmtId="1" fontId="7" fillId="0" borderId="3" xfId="0" applyNumberFormat="1" applyFont="1" applyBorder="1" applyAlignment="1">
      <alignment horizontal="left" vertical="justify"/>
    </xf>
    <xf numFmtId="0" fontId="116" fillId="0" borderId="0" xfId="0" applyFont="1" applyAlignment="1">
      <alignment horizontal="left" vertical="center"/>
    </xf>
    <xf numFmtId="3" fontId="122" fillId="0" borderId="0" xfId="0" applyNumberFormat="1" applyFont="1" applyAlignment="1">
      <alignment horizontal="centerContinuous" vertical="center"/>
    </xf>
    <xf numFmtId="0" fontId="92" fillId="0" borderId="0" xfId="0" applyFont="1" applyAlignment="1">
      <alignment horizontal="centerContinuous" vertical="center"/>
    </xf>
    <xf numFmtId="3" fontId="92" fillId="0" borderId="0" xfId="0" applyNumberFormat="1" applyFont="1" applyAlignment="1">
      <alignment horizontal="centerContinuous" vertical="center"/>
    </xf>
    <xf numFmtId="3" fontId="76" fillId="0" borderId="0" xfId="0" applyNumberFormat="1" applyFont="1" applyAlignment="1">
      <alignment horizontal="centerContinuous" vertical="center"/>
    </xf>
    <xf numFmtId="0" fontId="75" fillId="0" borderId="0" xfId="0" applyFont="1" applyAlignment="1">
      <alignment vertical="center"/>
    </xf>
    <xf numFmtId="0" fontId="32" fillId="0" borderId="0" xfId="0" applyFont="1" applyAlignment="1" applyProtection="1">
      <alignment vertical="center"/>
      <protection locked="0"/>
    </xf>
    <xf numFmtId="0" fontId="32" fillId="0" borderId="0" xfId="0" applyFont="1" applyAlignment="1" applyProtection="1">
      <alignment horizontal="center" vertical="center"/>
      <protection locked="0"/>
    </xf>
    <xf numFmtId="0" fontId="29" fillId="11" borderId="0" xfId="0" applyFont="1" applyFill="1"/>
    <xf numFmtId="0" fontId="75" fillId="0" borderId="3" xfId="0" applyFont="1" applyBorder="1" applyAlignment="1" applyProtection="1">
      <alignment horizontal="center" vertical="center"/>
      <protection locked="0"/>
    </xf>
    <xf numFmtId="49" fontId="75" fillId="0" borderId="3" xfId="0" applyNumberFormat="1" applyFont="1" applyBorder="1" applyAlignment="1" applyProtection="1">
      <alignment horizontal="center" vertical="center" wrapText="1"/>
      <protection locked="0"/>
    </xf>
    <xf numFmtId="0" fontId="75" fillId="0" borderId="3" xfId="0" applyFont="1" applyBorder="1" applyAlignment="1" applyProtection="1">
      <alignment horizontal="center" vertical="center" wrapText="1"/>
      <protection locked="0"/>
    </xf>
    <xf numFmtId="179" fontId="75" fillId="0" borderId="3" xfId="0" applyNumberFormat="1" applyFont="1" applyBorder="1" applyAlignment="1" applyProtection="1">
      <alignment horizontal="center" vertical="center"/>
      <protection locked="0"/>
    </xf>
    <xf numFmtId="4" fontId="75" fillId="0" borderId="3" xfId="0" applyNumberFormat="1" applyFont="1" applyBorder="1" applyAlignment="1" applyProtection="1">
      <alignment horizontal="center" vertical="center" wrapText="1"/>
      <protection locked="0"/>
    </xf>
    <xf numFmtId="0" fontId="75" fillId="0" borderId="3" xfId="0" applyFont="1" applyBorder="1" applyAlignment="1">
      <alignment horizontal="center" vertical="center"/>
    </xf>
    <xf numFmtId="0" fontId="75" fillId="0" borderId="3" xfId="0" applyFont="1" applyBorder="1" applyAlignment="1">
      <alignment horizontal="center" vertical="center" wrapText="1"/>
    </xf>
    <xf numFmtId="3" fontId="75" fillId="0" borderId="3" xfId="0" applyNumberFormat="1" applyFont="1" applyBorder="1" applyAlignment="1">
      <alignment horizontal="center" vertical="center" wrapText="1"/>
    </xf>
    <xf numFmtId="0" fontId="75" fillId="0" borderId="0" xfId="0" applyFont="1" applyAlignment="1">
      <alignment horizontal="center"/>
    </xf>
    <xf numFmtId="0" fontId="75" fillId="0" borderId="0" xfId="0" applyFont="1" applyAlignment="1">
      <alignment horizontal="center" vertical="center"/>
    </xf>
    <xf numFmtId="0" fontId="75" fillId="0" borderId="3" xfId="0" applyFont="1" applyBorder="1" applyAlignment="1">
      <alignment horizontal="centerContinuous" vertical="center"/>
    </xf>
    <xf numFmtId="3" fontId="75" fillId="0" borderId="3" xfId="0" applyNumberFormat="1" applyFont="1" applyBorder="1" applyAlignment="1">
      <alignment horizontal="center" vertical="center"/>
    </xf>
    <xf numFmtId="0" fontId="52" fillId="0" borderId="0" xfId="0" applyFont="1" applyAlignment="1">
      <alignment horizontal="centerContinuous" vertical="center" wrapText="1"/>
    </xf>
    <xf numFmtId="0" fontId="123" fillId="0" borderId="0" xfId="0" applyFont="1" applyAlignment="1">
      <alignment horizontal="centerContinuous" vertical="center"/>
    </xf>
    <xf numFmtId="0" fontId="123" fillId="0" borderId="0" xfId="0" applyFont="1" applyAlignment="1" applyProtection="1">
      <alignment horizontal="centerContinuous" vertical="center"/>
      <protection locked="0"/>
    </xf>
    <xf numFmtId="0" fontId="123" fillId="0" borderId="0" xfId="0" applyFont="1" applyAlignment="1">
      <alignment horizontal="centerContinuous" vertical="center" wrapText="1"/>
    </xf>
    <xf numFmtId="2" fontId="123" fillId="0" borderId="0" xfId="0" applyNumberFormat="1" applyFont="1" applyAlignment="1">
      <alignment horizontal="centerContinuous" vertical="center"/>
    </xf>
    <xf numFmtId="3" fontId="123" fillId="0" borderId="0" xfId="0" applyNumberFormat="1" applyFont="1" applyAlignment="1">
      <alignment horizontal="centerContinuous" vertical="center"/>
    </xf>
    <xf numFmtId="179" fontId="123" fillId="0" borderId="0" xfId="0" applyNumberFormat="1" applyFont="1" applyAlignment="1">
      <alignment horizontal="centerContinuous" vertical="center"/>
    </xf>
    <xf numFmtId="49" fontId="124" fillId="0" borderId="0" xfId="0" applyNumberFormat="1" applyFont="1" applyAlignment="1">
      <alignment horizontal="centerContinuous" vertical="center" wrapText="1"/>
    </xf>
    <xf numFmtId="0" fontId="75" fillId="0" borderId="0" xfId="0" applyFont="1"/>
    <xf numFmtId="0" fontId="125" fillId="0" borderId="0" xfId="0" applyFont="1" applyAlignment="1" applyProtection="1">
      <alignment horizontal="centerContinuous" vertical="center"/>
      <protection locked="0"/>
    </xf>
    <xf numFmtId="2" fontId="77" fillId="0" borderId="0" xfId="0" applyNumberFormat="1" applyFont="1" applyAlignment="1">
      <alignment horizontal="centerContinuous" vertical="center"/>
    </xf>
    <xf numFmtId="2" fontId="0" fillId="0" borderId="0" xfId="0" applyNumberFormat="1" applyAlignment="1">
      <alignment horizontal="centerContinuous" vertical="center"/>
    </xf>
    <xf numFmtId="2" fontId="29" fillId="8" borderId="4" xfId="0" applyNumberFormat="1" applyFont="1" applyFill="1" applyBorder="1" applyAlignment="1">
      <alignment horizontal="center" vertical="center"/>
    </xf>
    <xf numFmtId="2" fontId="29" fillId="8" borderId="9" xfId="0" applyNumberFormat="1" applyFont="1" applyFill="1" applyBorder="1" applyAlignment="1">
      <alignment horizontal="center" vertical="center"/>
    </xf>
    <xf numFmtId="0" fontId="126" fillId="0" borderId="0" xfId="0" applyFont="1"/>
    <xf numFmtId="49" fontId="4" fillId="0" borderId="8" xfId="0" applyNumberFormat="1" applyFont="1" applyBorder="1" applyAlignment="1">
      <alignment horizontal="center" vertical="center" wrapText="1"/>
    </xf>
    <xf numFmtId="49" fontId="29" fillId="0" borderId="8" xfId="0" applyNumberFormat="1" applyFont="1" applyBorder="1" applyAlignment="1" applyProtection="1">
      <alignment horizontal="center" vertical="center" wrapText="1"/>
      <protection hidden="1"/>
    </xf>
    <xf numFmtId="189" fontId="4" fillId="0" borderId="8" xfId="0" applyNumberFormat="1" applyFont="1" applyBorder="1" applyAlignment="1">
      <alignment horizontal="center" vertical="center"/>
    </xf>
    <xf numFmtId="189" fontId="4" fillId="0" borderId="8" xfId="0" applyNumberFormat="1" applyFont="1" applyBorder="1" applyAlignment="1">
      <alignment horizontal="center" vertical="center" wrapText="1"/>
    </xf>
    <xf numFmtId="0" fontId="30" fillId="0" borderId="0" xfId="0" applyFont="1" applyAlignment="1">
      <alignment horizontal="justify" vertical="center" wrapText="1"/>
    </xf>
    <xf numFmtId="179" fontId="82" fillId="0" borderId="0" xfId="0" applyNumberFormat="1" applyFont="1" applyAlignment="1">
      <alignment vertical="center"/>
    </xf>
    <xf numFmtId="3" fontId="2" fillId="0" borderId="0" xfId="0" applyNumberFormat="1" applyFont="1" applyAlignment="1">
      <alignment vertical="center"/>
    </xf>
    <xf numFmtId="0" fontId="0" fillId="0" borderId="0" xfId="0" applyAlignment="1">
      <alignment horizontal="center"/>
    </xf>
    <xf numFmtId="0" fontId="29" fillId="0" borderId="9" xfId="0" applyFont="1" applyBorder="1" applyAlignment="1">
      <alignment horizontal="center" vertical="center" wrapText="1"/>
    </xf>
    <xf numFmtId="0" fontId="44" fillId="0" borderId="9" xfId="0" applyFont="1" applyBorder="1" applyAlignment="1">
      <alignment horizontal="center" vertical="center" wrapText="1"/>
    </xf>
    <xf numFmtId="3" fontId="44" fillId="0" borderId="9" xfId="0" applyNumberFormat="1" applyFont="1" applyBorder="1" applyAlignment="1">
      <alignment horizontal="right" vertical="center"/>
    </xf>
    <xf numFmtId="0" fontId="29" fillId="0" borderId="0" xfId="0" applyFont="1" applyAlignment="1">
      <alignment horizontal="center" vertical="center"/>
    </xf>
    <xf numFmtId="0" fontId="82" fillId="0" borderId="0" xfId="0" applyFont="1" applyAlignment="1">
      <alignment vertical="center"/>
    </xf>
    <xf numFmtId="4" fontId="9" fillId="14" borderId="3" xfId="0" applyNumberFormat="1" applyFont="1" applyFill="1" applyBorder="1" applyAlignment="1">
      <alignment horizontal="center" vertical="center" wrapText="1"/>
    </xf>
    <xf numFmtId="179" fontId="9" fillId="14" borderId="3" xfId="0" applyNumberFormat="1" applyFont="1" applyFill="1" applyBorder="1" applyAlignment="1">
      <alignment horizontal="center" vertical="center" wrapText="1"/>
    </xf>
    <xf numFmtId="179" fontId="75" fillId="0" borderId="3" xfId="0" applyNumberFormat="1" applyFont="1" applyBorder="1" applyAlignment="1" applyProtection="1">
      <alignment horizontal="center" vertical="center" wrapText="1"/>
      <protection locked="0"/>
    </xf>
    <xf numFmtId="4" fontId="52" fillId="0" borderId="0" xfId="0" applyNumberFormat="1" applyFont="1" applyAlignment="1">
      <alignment horizontal="centerContinuous" vertical="center"/>
    </xf>
    <xf numFmtId="4" fontId="53" fillId="0" borderId="0" xfId="0" applyNumberFormat="1" applyFont="1" applyAlignment="1">
      <alignment horizontal="centerContinuous" vertical="center"/>
    </xf>
    <xf numFmtId="4" fontId="54" fillId="0" borderId="0" xfId="0" applyNumberFormat="1" applyFont="1" applyAlignment="1">
      <alignment horizontal="centerContinuous" vertical="center"/>
    </xf>
    <xf numFmtId="4" fontId="55" fillId="0" borderId="13" xfId="0" applyNumberFormat="1" applyFont="1" applyBorder="1" applyAlignment="1" applyProtection="1">
      <alignment horizontal="center" vertical="center"/>
      <protection locked="0"/>
    </xf>
    <xf numFmtId="4" fontId="75" fillId="0" borderId="3" xfId="0" applyNumberFormat="1" applyFont="1" applyBorder="1" applyAlignment="1">
      <alignment horizontal="center" vertical="center"/>
    </xf>
    <xf numFmtId="4" fontId="30" fillId="0" borderId="0" xfId="0" applyNumberFormat="1" applyFont="1" applyAlignment="1">
      <alignment vertical="center"/>
    </xf>
    <xf numFmtId="3" fontId="52" fillId="0" borderId="0" xfId="0" applyNumberFormat="1" applyFont="1" applyAlignment="1">
      <alignment horizontal="centerContinuous" vertical="center"/>
    </xf>
    <xf numFmtId="3" fontId="53" fillId="0" borderId="0" xfId="0" applyNumberFormat="1" applyFont="1" applyAlignment="1">
      <alignment horizontal="centerContinuous" vertical="center"/>
    </xf>
    <xf numFmtId="3" fontId="82" fillId="0" borderId="0" xfId="0" applyNumberFormat="1" applyFont="1" applyAlignment="1">
      <alignment vertical="center"/>
    </xf>
    <xf numFmtId="3" fontId="30" fillId="0" borderId="0" xfId="0" applyNumberFormat="1" applyFont="1" applyAlignment="1">
      <alignment vertical="center"/>
    </xf>
    <xf numFmtId="3" fontId="7" fillId="0" borderId="0" xfId="0" applyNumberFormat="1" applyFont="1" applyAlignment="1" applyProtection="1">
      <alignment vertical="center"/>
      <protection locked="0"/>
    </xf>
    <xf numFmtId="3" fontId="75" fillId="0" borderId="3" xfId="0" applyNumberFormat="1" applyFont="1" applyBorder="1" applyAlignment="1" applyProtection="1">
      <alignment horizontal="center" vertical="center" wrapText="1"/>
      <protection locked="0"/>
    </xf>
    <xf numFmtId="3" fontId="75" fillId="0" borderId="5" xfId="0" applyNumberFormat="1" applyFont="1" applyBorder="1" applyAlignment="1" applyProtection="1">
      <alignment horizontal="center" vertical="center"/>
      <protection locked="0"/>
    </xf>
    <xf numFmtId="2" fontId="55" fillId="0" borderId="13" xfId="0" applyNumberFormat="1" applyFont="1" applyBorder="1" applyAlignment="1" applyProtection="1">
      <alignment horizontal="right" vertical="center"/>
      <protection locked="0"/>
    </xf>
    <xf numFmtId="0" fontId="30" fillId="0" borderId="0" xfId="0" applyFont="1" applyAlignment="1">
      <alignment horizontal="right" vertical="center"/>
    </xf>
    <xf numFmtId="2" fontId="30" fillId="0" borderId="0" xfId="0" applyNumberFormat="1" applyFont="1" applyAlignment="1">
      <alignment horizontal="right" vertical="center"/>
    </xf>
    <xf numFmtId="0" fontId="55" fillId="0" borderId="13" xfId="0" applyFont="1" applyBorder="1" applyAlignment="1" applyProtection="1">
      <alignment horizontal="left" vertical="center"/>
      <protection locked="0"/>
    </xf>
    <xf numFmtId="0" fontId="30" fillId="0" borderId="0" xfId="0" applyFont="1" applyAlignment="1">
      <alignment horizontal="left" vertical="center"/>
    </xf>
    <xf numFmtId="0" fontId="2" fillId="0" borderId="0" xfId="0" applyFont="1" applyAlignment="1">
      <alignment horizontal="justify" vertical="center" wrapText="1"/>
    </xf>
    <xf numFmtId="3" fontId="0" fillId="0" borderId="0" xfId="0" applyNumberFormat="1" applyAlignment="1">
      <alignment vertical="center"/>
    </xf>
    <xf numFmtId="3" fontId="47" fillId="6" borderId="3" xfId="0" applyNumberFormat="1" applyFont="1" applyFill="1" applyBorder="1" applyAlignment="1">
      <alignment horizontal="center" vertical="center" wrapText="1"/>
    </xf>
    <xf numFmtId="3" fontId="75" fillId="0" borderId="5" xfId="0" applyNumberFormat="1" applyFont="1" applyBorder="1" applyAlignment="1" applyProtection="1">
      <alignment horizontal="centerContinuous" vertical="center"/>
      <protection locked="0"/>
    </xf>
    <xf numFmtId="0" fontId="2" fillId="0" borderId="0" xfId="0" applyFont="1" applyAlignment="1">
      <alignment horizontal="center" vertical="center"/>
    </xf>
    <xf numFmtId="4" fontId="123" fillId="0" borderId="0" xfId="0" applyNumberFormat="1" applyFont="1" applyAlignment="1">
      <alignment horizontal="centerContinuous" vertical="center"/>
    </xf>
    <xf numFmtId="4" fontId="2" fillId="0" borderId="0" xfId="0" applyNumberFormat="1" applyFont="1" applyAlignment="1">
      <alignment vertical="center"/>
    </xf>
    <xf numFmtId="2" fontId="55" fillId="0" borderId="13" xfId="0" applyNumberFormat="1" applyFont="1" applyBorder="1" applyAlignment="1" applyProtection="1">
      <alignment horizontal="left" vertical="center"/>
      <protection locked="0"/>
    </xf>
    <xf numFmtId="0" fontId="2" fillId="0" borderId="0" xfId="0" applyFont="1" applyAlignment="1">
      <alignment horizontal="left" vertical="center"/>
    </xf>
    <xf numFmtId="3" fontId="55" fillId="0" borderId="13" xfId="0" applyNumberFormat="1" applyFont="1" applyBorder="1" applyAlignment="1" applyProtection="1">
      <alignment horizontal="right" vertical="center"/>
      <protection locked="0"/>
    </xf>
    <xf numFmtId="3" fontId="2" fillId="0" borderId="0" xfId="0" applyNumberFormat="1" applyFont="1" applyAlignment="1">
      <alignment horizontal="right" vertical="center"/>
    </xf>
    <xf numFmtId="179" fontId="53" fillId="0" borderId="0" xfId="0" applyNumberFormat="1" applyFont="1" applyAlignment="1">
      <alignment horizontal="centerContinuous" vertical="center" wrapText="1"/>
    </xf>
    <xf numFmtId="0" fontId="54" fillId="0" borderId="0" xfId="0" applyFont="1" applyAlignment="1">
      <alignment horizontal="centerContinuous" vertical="center" wrapText="1"/>
    </xf>
    <xf numFmtId="0" fontId="55" fillId="0" borderId="13" xfId="0" applyFont="1" applyBorder="1" applyAlignment="1" applyProtection="1">
      <alignment horizontal="center" vertical="center" wrapText="1"/>
      <protection locked="0"/>
    </xf>
    <xf numFmtId="0" fontId="30" fillId="0" borderId="0" xfId="0" applyFont="1" applyAlignment="1">
      <alignment horizontal="center" vertical="center" wrapText="1"/>
    </xf>
    <xf numFmtId="0" fontId="53" fillId="0" borderId="0" xfId="0" applyFont="1" applyAlignment="1">
      <alignment horizontal="centerContinuous" vertical="center"/>
    </xf>
    <xf numFmtId="2" fontId="123" fillId="0" borderId="0" xfId="0" applyNumberFormat="1" applyFont="1" applyAlignment="1">
      <alignment horizontal="centerContinuous" vertical="center" wrapText="1"/>
    </xf>
    <xf numFmtId="2" fontId="54" fillId="0" borderId="0" xfId="0" applyNumberFormat="1" applyFont="1" applyAlignment="1">
      <alignment horizontal="centerContinuous" vertical="center" wrapText="1"/>
    </xf>
    <xf numFmtId="2" fontId="55" fillId="0" borderId="13" xfId="0" applyNumberFormat="1" applyFont="1" applyBorder="1" applyAlignment="1" applyProtection="1">
      <alignment horizontal="center" vertical="center" wrapText="1"/>
      <protection locked="0"/>
    </xf>
    <xf numFmtId="0" fontId="2" fillId="0" borderId="0" xfId="0" applyFont="1" applyAlignment="1">
      <alignment horizontal="center" vertical="center" wrapText="1"/>
    </xf>
    <xf numFmtId="10" fontId="4" fillId="0" borderId="0" xfId="0" applyNumberFormat="1" applyFont="1" applyAlignment="1">
      <alignment horizontal="centerContinuous" vertical="center"/>
    </xf>
    <xf numFmtId="10" fontId="7" fillId="0" borderId="0" xfId="0" applyNumberFormat="1" applyFont="1" applyAlignment="1">
      <alignment horizontal="centerContinuous" vertical="center"/>
    </xf>
    <xf numFmtId="10" fontId="65" fillId="0" borderId="0" xfId="0" applyNumberFormat="1" applyFont="1" applyAlignment="1">
      <alignment vertical="center"/>
    </xf>
    <xf numFmtId="10" fontId="4" fillId="0" borderId="0" xfId="0" applyNumberFormat="1" applyFont="1" applyAlignment="1">
      <alignment vertical="center"/>
    </xf>
    <xf numFmtId="0" fontId="29" fillId="0" borderId="3" xfId="0" applyFont="1" applyBorder="1" applyAlignment="1">
      <alignment horizontal="center" vertical="center"/>
    </xf>
    <xf numFmtId="4" fontId="4" fillId="0" borderId="0" xfId="0" applyNumberFormat="1" applyFont="1" applyAlignment="1">
      <alignment horizontal="centerContinuous" vertical="center" wrapText="1"/>
    </xf>
    <xf numFmtId="4" fontId="7" fillId="0" borderId="0" xfId="0" applyNumberFormat="1" applyFont="1" applyAlignment="1">
      <alignment horizontal="centerContinuous" vertical="center" wrapText="1"/>
    </xf>
    <xf numFmtId="4" fontId="4" fillId="0" borderId="0" xfId="0" applyNumberFormat="1" applyFont="1" applyAlignment="1">
      <alignment horizontal="center" vertical="center" wrapText="1"/>
    </xf>
    <xf numFmtId="3" fontId="9" fillId="14" borderId="3" xfId="0" applyNumberFormat="1" applyFont="1" applyFill="1" applyBorder="1" applyAlignment="1">
      <alignment horizontal="center" vertical="center" wrapText="1"/>
    </xf>
    <xf numFmtId="0" fontId="23" fillId="0" borderId="0" xfId="0" applyFont="1" applyAlignment="1">
      <alignment horizontal="center" vertical="center"/>
    </xf>
    <xf numFmtId="3" fontId="39" fillId="0" borderId="0" xfId="0" applyNumberFormat="1" applyFont="1" applyAlignment="1" applyProtection="1">
      <alignment horizontal="centerContinuous" vertical="center"/>
      <protection locked="0"/>
    </xf>
    <xf numFmtId="3" fontId="7" fillId="0" borderId="0" xfId="0" applyNumberFormat="1" applyFont="1" applyAlignment="1" applyProtection="1">
      <alignment horizontal="centerContinuous" vertical="center"/>
      <protection locked="0"/>
    </xf>
    <xf numFmtId="3" fontId="4" fillId="0" borderId="0" xfId="0" applyNumberFormat="1" applyFont="1" applyAlignment="1" applyProtection="1">
      <alignment vertical="center"/>
      <protection locked="0"/>
    </xf>
    <xf numFmtId="3" fontId="75" fillId="0" borderId="3" xfId="0" applyNumberFormat="1" applyFont="1" applyBorder="1" applyAlignment="1" applyProtection="1">
      <alignment horizontal="center" vertical="center"/>
      <protection locked="0"/>
    </xf>
    <xf numFmtId="3" fontId="4" fillId="0" borderId="7" xfId="0" applyNumberFormat="1" applyFont="1" applyBorder="1" applyAlignment="1" applyProtection="1">
      <alignment vertical="center"/>
      <protection locked="0"/>
    </xf>
    <xf numFmtId="3" fontId="4" fillId="0" borderId="0" xfId="0" applyNumberFormat="1" applyFont="1" applyAlignment="1" applyProtection="1">
      <alignment horizontal="center" vertical="center"/>
      <protection locked="0"/>
    </xf>
    <xf numFmtId="3" fontId="4" fillId="6" borderId="3" xfId="0" applyNumberFormat="1" applyFont="1" applyFill="1" applyBorder="1" applyAlignment="1" applyProtection="1">
      <alignment vertical="center"/>
      <protection locked="0"/>
    </xf>
    <xf numFmtId="3" fontId="9" fillId="6" borderId="3" xfId="0" applyNumberFormat="1" applyFont="1" applyFill="1" applyBorder="1" applyAlignment="1" applyProtection="1">
      <alignment horizontal="right" vertical="center"/>
      <protection locked="0"/>
    </xf>
    <xf numFmtId="4" fontId="29" fillId="0" borderId="3" xfId="0" applyNumberFormat="1" applyFont="1" applyBorder="1" applyAlignment="1">
      <alignment horizontal="center" vertical="center"/>
    </xf>
    <xf numFmtId="0" fontId="108" fillId="0" borderId="0" xfId="0" applyFont="1" applyAlignment="1">
      <alignment horizontal="center" vertical="center"/>
    </xf>
    <xf numFmtId="0" fontId="37" fillId="0" borderId="27" xfId="0" applyFont="1" applyBorder="1" applyAlignment="1">
      <alignment vertical="center"/>
    </xf>
    <xf numFmtId="3" fontId="4" fillId="0" borderId="27" xfId="0" applyNumberFormat="1" applyFont="1" applyBorder="1" applyAlignment="1">
      <alignment vertical="center" wrapText="1"/>
    </xf>
    <xf numFmtId="0" fontId="4" fillId="0" borderId="27" xfId="0" applyFont="1" applyBorder="1" applyAlignment="1">
      <alignment horizontal="center" vertical="center" wrapText="1"/>
    </xf>
    <xf numFmtId="180" fontId="4" fillId="4" borderId="27" xfId="0" applyNumberFormat="1" applyFont="1" applyFill="1" applyBorder="1" applyAlignment="1">
      <alignment horizontal="center" vertical="center" wrapText="1"/>
    </xf>
    <xf numFmtId="0" fontId="4" fillId="4" borderId="27" xfId="0" applyFont="1" applyFill="1" applyBorder="1" applyAlignment="1">
      <alignment horizontal="center" vertical="center" wrapText="1"/>
    </xf>
    <xf numFmtId="0" fontId="44" fillId="0" borderId="7" xfId="0" applyFont="1" applyBorder="1" applyAlignment="1">
      <alignment vertical="center" wrapText="1"/>
    </xf>
    <xf numFmtId="0" fontId="44" fillId="0" borderId="8" xfId="0" applyFont="1" applyBorder="1" applyAlignment="1">
      <alignment vertical="center" wrapText="1"/>
    </xf>
    <xf numFmtId="179" fontId="7" fillId="0" borderId="0" xfId="0" applyNumberFormat="1" applyFont="1" applyAlignment="1">
      <alignment vertical="center"/>
    </xf>
    <xf numFmtId="2" fontId="34" fillId="5" borderId="10" xfId="0" applyNumberFormat="1" applyFont="1" applyFill="1" applyBorder="1" applyAlignment="1">
      <alignment horizontal="center" vertical="center"/>
    </xf>
    <xf numFmtId="0" fontId="6" fillId="3" borderId="10" xfId="0" applyFont="1" applyFill="1" applyBorder="1" applyAlignment="1">
      <alignment horizontal="center" vertical="center" wrapText="1"/>
    </xf>
    <xf numFmtId="0" fontId="38" fillId="3" borderId="10" xfId="0" applyFont="1" applyFill="1" applyBorder="1" applyAlignment="1">
      <alignment horizontal="center" vertical="center" wrapText="1"/>
    </xf>
    <xf numFmtId="3" fontId="38" fillId="3" borderId="10" xfId="0" applyNumberFormat="1" applyFont="1" applyFill="1" applyBorder="1" applyAlignment="1">
      <alignment vertical="center"/>
    </xf>
    <xf numFmtId="2" fontId="9" fillId="0" borderId="9" xfId="0" applyNumberFormat="1" applyFont="1" applyBorder="1" applyAlignment="1">
      <alignment horizontal="center" vertical="center"/>
    </xf>
    <xf numFmtId="0" fontId="29" fillId="0" borderId="3" xfId="0" applyFont="1" applyBorder="1" applyAlignment="1">
      <alignment horizontal="center"/>
    </xf>
    <xf numFmtId="2" fontId="29" fillId="0" borderId="3" xfId="0" applyNumberFormat="1" applyFont="1" applyBorder="1" applyAlignment="1">
      <alignment horizontal="center"/>
    </xf>
    <xf numFmtId="2" fontId="29" fillId="0" borderId="9" xfId="0" applyNumberFormat="1" applyFont="1" applyBorder="1" applyAlignment="1">
      <alignment vertical="center" wrapText="1"/>
    </xf>
    <xf numFmtId="0" fontId="29" fillId="0" borderId="9" xfId="0" applyFont="1" applyBorder="1" applyAlignment="1">
      <alignment horizontal="center" vertical="center"/>
    </xf>
    <xf numFmtId="0" fontId="117" fillId="0" borderId="0" xfId="0" applyFont="1" applyAlignment="1">
      <alignment horizontal="centerContinuous" vertical="center"/>
    </xf>
    <xf numFmtId="0" fontId="127" fillId="0" borderId="0" xfId="0" applyFont="1" applyAlignment="1">
      <alignment horizontal="right" vertical="center"/>
    </xf>
    <xf numFmtId="0" fontId="128" fillId="0" borderId="0" xfId="0" applyFont="1" applyAlignment="1">
      <alignment horizontal="centerContinuous" vertical="center"/>
    </xf>
    <xf numFmtId="0" fontId="129" fillId="0" borderId="0" xfId="0" applyFont="1" applyAlignment="1">
      <alignment horizontal="centerContinuous" vertical="center"/>
    </xf>
    <xf numFmtId="0" fontId="112" fillId="0" borderId="0" xfId="0" applyFont="1" applyAlignment="1">
      <alignment vertical="center"/>
    </xf>
    <xf numFmtId="0" fontId="128" fillId="0" borderId="0" xfId="0" applyFont="1" applyAlignment="1">
      <alignment vertical="center"/>
    </xf>
    <xf numFmtId="0" fontId="130" fillId="0" borderId="0" xfId="0" applyFont="1" applyAlignment="1">
      <alignment vertical="center"/>
    </xf>
    <xf numFmtId="0" fontId="130" fillId="0" borderId="0" xfId="0" applyFont="1" applyAlignment="1">
      <alignment horizontal="left" vertical="center"/>
    </xf>
    <xf numFmtId="0" fontId="112" fillId="0" borderId="0" xfId="0" applyFont="1" applyAlignment="1">
      <alignment horizontal="left" vertical="center"/>
    </xf>
    <xf numFmtId="0" fontId="131" fillId="0" borderId="0" xfId="0" applyFont="1" applyAlignment="1">
      <alignment vertical="center"/>
    </xf>
    <xf numFmtId="0" fontId="131" fillId="0" borderId="0" xfId="0" applyFont="1" applyAlignment="1">
      <alignment horizontal="centerContinuous" vertical="center"/>
    </xf>
    <xf numFmtId="0" fontId="116" fillId="0" borderId="0" xfId="0" quotePrefix="1" applyFont="1" applyAlignment="1">
      <alignment vertical="center"/>
    </xf>
    <xf numFmtId="0" fontId="110" fillId="0" borderId="0" xfId="0" applyFont="1" applyAlignment="1">
      <alignment horizontal="center" vertical="center"/>
    </xf>
    <xf numFmtId="0" fontId="112" fillId="0" borderId="0" xfId="0" applyFont="1" applyAlignment="1">
      <alignment horizontal="centerContinuous" vertical="top"/>
    </xf>
    <xf numFmtId="0" fontId="70" fillId="0" borderId="0" xfId="0" applyFont="1"/>
    <xf numFmtId="0" fontId="44" fillId="4" borderId="28" xfId="0" applyFont="1" applyFill="1" applyBorder="1" applyAlignment="1">
      <alignment horizontal="center" vertical="center" wrapText="1"/>
    </xf>
    <xf numFmtId="0" fontId="4" fillId="4" borderId="28" xfId="0" applyFont="1" applyFill="1" applyBorder="1" applyAlignment="1">
      <alignment horizontal="center" vertical="center" wrapText="1"/>
    </xf>
    <xf numFmtId="3" fontId="9" fillId="4" borderId="28" xfId="0" applyNumberFormat="1" applyFont="1" applyFill="1" applyBorder="1" applyAlignment="1">
      <alignment vertical="center" wrapText="1"/>
    </xf>
    <xf numFmtId="0" fontId="4" fillId="0" borderId="28" xfId="0" applyFont="1" applyBorder="1" applyAlignment="1">
      <alignment horizontal="center" vertical="center" wrapText="1"/>
    </xf>
    <xf numFmtId="4" fontId="108" fillId="12" borderId="4" xfId="0" applyNumberFormat="1" applyFont="1" applyFill="1" applyBorder="1" applyAlignment="1">
      <alignment horizontal="center" vertical="center"/>
    </xf>
    <xf numFmtId="3" fontId="4" fillId="12" borderId="4" xfId="0" applyNumberFormat="1" applyFont="1" applyFill="1" applyBorder="1" applyAlignment="1">
      <alignment vertical="center"/>
    </xf>
    <xf numFmtId="4" fontId="4" fillId="12" borderId="4" xfId="0" applyNumberFormat="1" applyFont="1" applyFill="1" applyBorder="1" applyAlignment="1">
      <alignment horizontal="center" vertical="center"/>
    </xf>
    <xf numFmtId="4" fontId="108" fillId="12" borderId="8" xfId="0" applyNumberFormat="1" applyFont="1" applyFill="1" applyBorder="1" applyAlignment="1">
      <alignment horizontal="center" vertical="center"/>
    </xf>
    <xf numFmtId="3" fontId="4" fillId="12" borderId="8" xfId="0" applyNumberFormat="1" applyFont="1" applyFill="1" applyBorder="1" applyAlignment="1">
      <alignment vertical="center"/>
    </xf>
    <xf numFmtId="4" fontId="4" fillId="12" borderId="8" xfId="0" applyNumberFormat="1" applyFont="1" applyFill="1" applyBorder="1" applyAlignment="1">
      <alignment horizontal="center" vertical="center"/>
    </xf>
    <xf numFmtId="0" fontId="4" fillId="0" borderId="9" xfId="0" applyFont="1" applyBorder="1" applyAlignment="1">
      <alignment vertical="center"/>
    </xf>
    <xf numFmtId="0" fontId="4" fillId="0" borderId="12" xfId="0" applyFont="1" applyBorder="1" applyAlignment="1">
      <alignment horizontal="left" vertical="center"/>
    </xf>
    <xf numFmtId="0" fontId="4" fillId="0" borderId="10" xfId="0" applyFont="1" applyBorder="1" applyAlignment="1">
      <alignment horizontal="left" vertical="center"/>
    </xf>
    <xf numFmtId="0" fontId="7" fillId="0" borderId="10" xfId="0" applyFont="1" applyBorder="1" applyAlignment="1">
      <alignment vertical="center"/>
    </xf>
    <xf numFmtId="0" fontId="4" fillId="0" borderId="29" xfId="0" applyFont="1" applyBorder="1" applyAlignment="1">
      <alignment horizontal="center" vertical="center" wrapText="1"/>
    </xf>
    <xf numFmtId="0" fontId="44" fillId="0" borderId="14" xfId="0" applyFont="1" applyBorder="1" applyAlignment="1">
      <alignment vertical="center" wrapText="1"/>
    </xf>
    <xf numFmtId="0" fontId="21" fillId="0" borderId="27" xfId="0" applyFont="1" applyBorder="1" applyAlignment="1">
      <alignment vertical="center" wrapText="1"/>
    </xf>
    <xf numFmtId="0" fontId="132" fillId="0" borderId="9" xfId="0" applyFont="1" applyBorder="1" applyAlignment="1">
      <alignment vertical="center" wrapText="1"/>
    </xf>
    <xf numFmtId="0" fontId="21" fillId="0" borderId="9" xfId="0" applyFont="1" applyBorder="1" applyAlignment="1">
      <alignment vertical="center" wrapText="1"/>
    </xf>
    <xf numFmtId="0" fontId="133" fillId="0" borderId="0" xfId="0" applyFont="1" applyAlignment="1">
      <alignment horizontal="center"/>
    </xf>
    <xf numFmtId="0" fontId="133" fillId="0" borderId="0" xfId="0" applyFont="1"/>
    <xf numFmtId="0" fontId="102" fillId="0" borderId="2" xfId="0" applyFont="1" applyBorder="1" applyAlignment="1">
      <alignment horizontal="centerContinuous"/>
    </xf>
    <xf numFmtId="0" fontId="102" fillId="0" borderId="3" xfId="0" applyFont="1" applyBorder="1"/>
    <xf numFmtId="0" fontId="133" fillId="0" borderId="24" xfId="0" applyFont="1" applyBorder="1" applyAlignment="1">
      <alignment horizontal="center"/>
    </xf>
    <xf numFmtId="0" fontId="133" fillId="0" borderId="30" xfId="0" applyFont="1" applyBorder="1" applyAlignment="1">
      <alignment horizontal="center"/>
    </xf>
    <xf numFmtId="0" fontId="133" fillId="0" borderId="13" xfId="0" applyFont="1" applyBorder="1" applyAlignment="1">
      <alignment horizontal="center"/>
    </xf>
    <xf numFmtId="0" fontId="133" fillId="0" borderId="13" xfId="0" applyFont="1" applyBorder="1"/>
    <xf numFmtId="49" fontId="9" fillId="0" borderId="8" xfId="0" applyNumberFormat="1" applyFont="1" applyBorder="1" applyAlignment="1">
      <alignment horizontal="center" vertical="center" wrapText="1"/>
    </xf>
    <xf numFmtId="0" fontId="9" fillId="0" borderId="8" xfId="0" applyFont="1" applyBorder="1" applyAlignment="1">
      <alignment horizontal="left" vertical="center" wrapText="1"/>
    </xf>
    <xf numFmtId="3" fontId="9" fillId="0" borderId="9" xfId="0" applyNumberFormat="1" applyFont="1" applyBorder="1" applyAlignment="1">
      <alignment vertical="center" wrapText="1"/>
    </xf>
    <xf numFmtId="0" fontId="0" fillId="0" borderId="0" xfId="0" applyAlignment="1">
      <alignment horizontal="justify" vertical="center" wrapText="1"/>
    </xf>
    <xf numFmtId="0" fontId="0" fillId="0" borderId="0" xfId="0" applyAlignment="1">
      <alignment horizontal="left" vertical="center"/>
    </xf>
    <xf numFmtId="0" fontId="68" fillId="0" borderId="0" xfId="0" applyFont="1" applyAlignment="1">
      <alignment horizontal="left" vertical="center" wrapText="1"/>
    </xf>
    <xf numFmtId="0" fontId="51" fillId="0" borderId="0" xfId="0" applyFont="1" applyAlignment="1">
      <alignment horizontal="centerContinuous" vertical="center" wrapText="1"/>
    </xf>
    <xf numFmtId="0" fontId="56" fillId="0" borderId="0" xfId="0" applyFont="1" applyAlignment="1">
      <alignment horizontal="centerContinuous" vertical="center" wrapText="1"/>
    </xf>
    <xf numFmtId="3" fontId="0" fillId="0" borderId="0" xfId="0" applyNumberFormat="1" applyAlignment="1">
      <alignment horizontal="right" vertical="center"/>
    </xf>
    <xf numFmtId="3" fontId="64" fillId="0" borderId="0" xfId="0" applyNumberFormat="1" applyFont="1" applyAlignment="1">
      <alignment horizontal="right" vertical="center"/>
    </xf>
    <xf numFmtId="0" fontId="4" fillId="0" borderId="0" xfId="0" applyFont="1" applyAlignment="1" applyProtection="1">
      <alignment horizontal="center" vertical="center"/>
      <protection locked="0"/>
    </xf>
    <xf numFmtId="3" fontId="4" fillId="0" borderId="14" xfId="0" applyNumberFormat="1" applyFont="1" applyBorder="1" applyAlignment="1">
      <alignment horizontal="center" vertical="center"/>
    </xf>
    <xf numFmtId="3" fontId="9" fillId="0" borderId="14" xfId="0" applyNumberFormat="1" applyFont="1" applyBorder="1" applyAlignment="1">
      <alignment horizontal="center" vertical="center"/>
    </xf>
    <xf numFmtId="3" fontId="9" fillId="6" borderId="3" xfId="0" applyNumberFormat="1" applyFont="1" applyFill="1" applyBorder="1" applyAlignment="1">
      <alignment horizontal="center" vertical="center"/>
    </xf>
    <xf numFmtId="4" fontId="77" fillId="0" borderId="0" xfId="0" applyNumberFormat="1" applyFont="1" applyAlignment="1">
      <alignment horizontal="centerContinuous" vertical="center"/>
    </xf>
    <xf numFmtId="4" fontId="0" fillId="0" borderId="0" xfId="0" applyNumberFormat="1" applyAlignment="1">
      <alignment horizontal="centerContinuous" vertical="center"/>
    </xf>
    <xf numFmtId="4" fontId="44" fillId="0" borderId="9" xfId="0" applyNumberFormat="1" applyFont="1" applyBorder="1" applyAlignment="1">
      <alignment horizontal="right" vertical="center"/>
    </xf>
    <xf numFmtId="4" fontId="29" fillId="0" borderId="4" xfId="0" applyNumberFormat="1" applyFont="1" applyBorder="1" applyAlignment="1">
      <alignment horizontal="right" vertical="center"/>
    </xf>
    <xf numFmtId="4" fontId="0" fillId="0" borderId="0" xfId="0" applyNumberFormat="1"/>
    <xf numFmtId="4" fontId="29" fillId="0" borderId="3" xfId="0" applyNumberFormat="1" applyFont="1" applyBorder="1" applyAlignment="1">
      <alignment horizontal="center"/>
    </xf>
    <xf numFmtId="4" fontId="29" fillId="0" borderId="4" xfId="0" applyNumberFormat="1" applyFont="1" applyBorder="1" applyAlignment="1">
      <alignment horizontal="right"/>
    </xf>
    <xf numFmtId="4" fontId="29" fillId="0" borderId="9" xfId="0" applyNumberFormat="1" applyFont="1" applyBorder="1" applyAlignment="1">
      <alignment horizontal="right"/>
    </xf>
    <xf numFmtId="4" fontId="29" fillId="0" borderId="0" xfId="0" applyNumberFormat="1" applyFont="1" applyAlignment="1">
      <alignment horizontal="right"/>
    </xf>
    <xf numFmtId="4" fontId="29" fillId="0" borderId="0" xfId="0" applyNumberFormat="1" applyFont="1"/>
    <xf numFmtId="3" fontId="77" fillId="0" borderId="0" xfId="0" applyNumberFormat="1" applyFont="1" applyAlignment="1">
      <alignment horizontal="centerContinuous" vertical="center"/>
    </xf>
    <xf numFmtId="3" fontId="0" fillId="0" borderId="0" xfId="0" applyNumberFormat="1" applyAlignment="1">
      <alignment horizontal="centerContinuous" vertical="center"/>
    </xf>
    <xf numFmtId="3" fontId="29" fillId="0" borderId="3" xfId="0" applyNumberFormat="1" applyFont="1" applyBorder="1" applyAlignment="1">
      <alignment horizontal="center"/>
    </xf>
    <xf numFmtId="3" fontId="29" fillId="0" borderId="0" xfId="0" applyNumberFormat="1" applyFont="1"/>
    <xf numFmtId="0" fontId="29" fillId="0" borderId="0" xfId="0" applyFont="1" applyAlignment="1">
      <alignment horizontal="justify" vertical="center" wrapText="1"/>
    </xf>
    <xf numFmtId="0" fontId="29" fillId="0" borderId="3" xfId="0" applyFont="1" applyBorder="1" applyAlignment="1">
      <alignment horizontal="center" vertical="center" wrapText="1"/>
    </xf>
    <xf numFmtId="0" fontId="77" fillId="0" borderId="0" xfId="0" applyFont="1" applyAlignment="1">
      <alignment horizontal="centerContinuous" vertical="center" wrapText="1"/>
    </xf>
    <xf numFmtId="0" fontId="0" fillId="0" borderId="0" xfId="0" applyAlignment="1">
      <alignment horizontal="centerContinuous" vertical="center" wrapText="1"/>
    </xf>
    <xf numFmtId="0" fontId="44" fillId="0" borderId="3" xfId="0" applyFont="1" applyBorder="1" applyAlignment="1">
      <alignment horizontal="justify" vertical="center" wrapText="1"/>
    </xf>
    <xf numFmtId="0" fontId="134" fillId="0" borderId="0" xfId="0" applyFont="1"/>
    <xf numFmtId="0" fontId="112" fillId="0" borderId="0" xfId="0" quotePrefix="1" applyFont="1" applyAlignment="1">
      <alignment vertical="center"/>
    </xf>
    <xf numFmtId="0" fontId="34" fillId="3" borderId="3" xfId="0" applyFont="1" applyFill="1" applyBorder="1" applyAlignment="1">
      <alignment horizontal="center" vertical="center" wrapText="1"/>
    </xf>
    <xf numFmtId="0" fontId="50" fillId="4" borderId="3" xfId="0" applyFont="1" applyFill="1" applyBorder="1" applyAlignment="1">
      <alignment horizontal="center" vertical="center" wrapText="1"/>
    </xf>
    <xf numFmtId="49" fontId="9" fillId="4" borderId="3" xfId="0" applyNumberFormat="1" applyFont="1" applyFill="1" applyBorder="1" applyAlignment="1">
      <alignment horizontal="center" vertical="center" wrapText="1"/>
    </xf>
    <xf numFmtId="3" fontId="9" fillId="4" borderId="3" xfId="0" applyNumberFormat="1" applyFont="1" applyFill="1" applyBorder="1" applyAlignment="1">
      <alignment horizontal="right" vertical="center" wrapText="1"/>
    </xf>
    <xf numFmtId="0" fontId="29" fillId="0" borderId="4" xfId="0" applyFont="1" applyBorder="1" applyAlignment="1">
      <alignment horizontal="center" vertical="center" wrapText="1"/>
    </xf>
    <xf numFmtId="0" fontId="29" fillId="0" borderId="8" xfId="0" applyFont="1" applyBorder="1" applyAlignment="1">
      <alignment horizontal="center" vertical="center" wrapText="1"/>
    </xf>
    <xf numFmtId="0" fontId="9" fillId="0" borderId="9" xfId="0" applyFont="1" applyBorder="1" applyAlignment="1">
      <alignment horizontal="center" vertical="center"/>
    </xf>
    <xf numFmtId="49" fontId="9" fillId="4" borderId="3" xfId="0" applyNumberFormat="1" applyFont="1" applyFill="1" applyBorder="1" applyAlignment="1">
      <alignment horizontal="centerContinuous" vertical="center"/>
    </xf>
    <xf numFmtId="37" fontId="4" fillId="0" borderId="0" xfId="0" applyNumberFormat="1" applyFont="1" applyAlignment="1">
      <alignment horizontal="right" vertical="center"/>
    </xf>
    <xf numFmtId="49" fontId="40" fillId="4" borderId="3" xfId="0" applyNumberFormat="1" applyFont="1" applyFill="1" applyBorder="1" applyAlignment="1">
      <alignment horizontal="center" vertical="center" wrapText="1"/>
    </xf>
    <xf numFmtId="3" fontId="40" fillId="4" borderId="3" xfId="0" applyNumberFormat="1" applyFont="1" applyFill="1" applyBorder="1" applyAlignment="1">
      <alignment horizontal="right" vertical="center" wrapText="1"/>
    </xf>
    <xf numFmtId="0" fontId="39" fillId="0" borderId="0" xfId="0" applyFont="1" applyAlignment="1" applyProtection="1">
      <alignment horizontal="centerContinuous" vertical="center"/>
      <protection locked="0"/>
    </xf>
    <xf numFmtId="0" fontId="7" fillId="0" borderId="0" xfId="0" applyFont="1" applyAlignment="1" applyProtection="1">
      <alignment horizontal="centerContinuous" vertical="center"/>
      <protection locked="0"/>
    </xf>
    <xf numFmtId="0" fontId="37" fillId="0" borderId="7" xfId="0" applyFont="1" applyBorder="1" applyAlignment="1" applyProtection="1">
      <alignment vertical="center"/>
      <protection locked="0"/>
    </xf>
    <xf numFmtId="0" fontId="108" fillId="0" borderId="0" xfId="0" applyFont="1"/>
    <xf numFmtId="0" fontId="0" fillId="0" borderId="0" xfId="0" applyAlignment="1" applyProtection="1">
      <alignment horizontal="center" vertical="center"/>
      <protection locked="0"/>
    </xf>
    <xf numFmtId="0" fontId="29" fillId="0" borderId="0" xfId="0" applyFont="1" applyAlignment="1">
      <alignment wrapText="1"/>
    </xf>
    <xf numFmtId="3" fontId="4" fillId="0" borderId="0" xfId="0" applyNumberFormat="1" applyFont="1"/>
    <xf numFmtId="0" fontId="4" fillId="0" borderId="0" xfId="0" applyFont="1" applyAlignment="1">
      <alignment horizontal="center"/>
    </xf>
    <xf numFmtId="10" fontId="4" fillId="0" borderId="0" xfId="0" applyNumberFormat="1" applyFont="1"/>
    <xf numFmtId="3" fontId="43" fillId="0" borderId="0" xfId="0" applyNumberFormat="1" applyFont="1" applyAlignment="1">
      <alignment horizontal="right"/>
    </xf>
    <xf numFmtId="0" fontId="75" fillId="0" borderId="12" xfId="0" applyFont="1" applyBorder="1" applyAlignment="1">
      <alignment horizontal="center" vertical="center"/>
    </xf>
    <xf numFmtId="0" fontId="75" fillId="0" borderId="12" xfId="0" applyFont="1" applyBorder="1" applyAlignment="1">
      <alignment horizontal="center" vertical="center" wrapText="1"/>
    </xf>
    <xf numFmtId="3" fontId="75" fillId="0" borderId="12" xfId="0" applyNumberFormat="1" applyFont="1" applyBorder="1" applyAlignment="1">
      <alignment horizontal="center" vertical="center"/>
    </xf>
    <xf numFmtId="0" fontId="9" fillId="0" borderId="4" xfId="0" applyFont="1" applyBorder="1" applyAlignment="1">
      <alignment horizontal="center" vertical="center"/>
    </xf>
    <xf numFmtId="0" fontId="9" fillId="0" borderId="4" xfId="0" applyFont="1" applyBorder="1" applyAlignment="1">
      <alignment vertical="center" wrapText="1"/>
    </xf>
    <xf numFmtId="3" fontId="9" fillId="0" borderId="4"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4" xfId="0" applyNumberFormat="1" applyFont="1" applyBorder="1" applyAlignment="1">
      <alignment horizontal="justify" vertical="center" wrapText="1"/>
    </xf>
    <xf numFmtId="0" fontId="4" fillId="0" borderId="14" xfId="0" applyFont="1" applyBorder="1" applyAlignment="1">
      <alignment vertical="center"/>
    </xf>
    <xf numFmtId="1" fontId="9" fillId="0" borderId="14" xfId="0" applyNumberFormat="1" applyFont="1" applyBorder="1" applyAlignment="1">
      <alignment horizontal="center" vertical="center"/>
    </xf>
    <xf numFmtId="1" fontId="9" fillId="0" borderId="14" xfId="0" applyNumberFormat="1" applyFont="1" applyBorder="1" applyAlignment="1">
      <alignment horizontal="justify" vertical="center" wrapText="1"/>
    </xf>
    <xf numFmtId="0" fontId="9" fillId="0" borderId="4" xfId="0" applyFont="1" applyBorder="1" applyAlignment="1">
      <alignment horizontal="justify" vertical="center" wrapText="1"/>
    </xf>
    <xf numFmtId="0" fontId="36" fillId="0" borderId="0" xfId="0" applyFont="1" applyAlignment="1">
      <alignment horizontal="centerContinuous" vertical="center" wrapText="1"/>
    </xf>
    <xf numFmtId="9" fontId="75" fillId="0" borderId="12" xfId="0" applyNumberFormat="1" applyFont="1" applyBorder="1" applyAlignment="1">
      <alignment horizontal="center" vertical="center"/>
    </xf>
    <xf numFmtId="9" fontId="0" fillId="0" borderId="0" xfId="0" applyNumberFormat="1" applyAlignment="1">
      <alignment horizontal="center" vertical="center"/>
    </xf>
    <xf numFmtId="9" fontId="0" fillId="0" borderId="0" xfId="0" applyNumberFormat="1" applyAlignment="1">
      <alignment horizontal="center"/>
    </xf>
    <xf numFmtId="10" fontId="4" fillId="0" borderId="14" xfId="0" applyNumberFormat="1" applyFont="1" applyBorder="1" applyAlignment="1">
      <alignment horizontal="center" vertical="center"/>
    </xf>
    <xf numFmtId="10" fontId="4" fillId="0" borderId="9" xfId="0" applyNumberFormat="1" applyFont="1" applyBorder="1" applyAlignment="1">
      <alignment horizontal="center" vertical="center"/>
    </xf>
    <xf numFmtId="0" fontId="80" fillId="0" borderId="0" xfId="0" applyFont="1" applyAlignment="1">
      <alignment horizontal="centerContinuous" vertical="center" wrapText="1"/>
    </xf>
    <xf numFmtId="10" fontId="29" fillId="0" borderId="14" xfId="0" applyNumberFormat="1" applyFont="1" applyBorder="1" applyAlignment="1">
      <alignment horizontal="center" vertical="center"/>
    </xf>
    <xf numFmtId="0" fontId="116" fillId="0" borderId="0" xfId="0" applyFont="1"/>
    <xf numFmtId="0" fontId="108" fillId="0" borderId="4" xfId="0" applyFont="1" applyBorder="1" applyAlignment="1">
      <alignment horizontal="center"/>
    </xf>
    <xf numFmtId="0" fontId="36" fillId="0" borderId="31" xfId="0" applyFont="1" applyBorder="1" applyAlignment="1">
      <alignment horizontal="center" vertical="center" wrapText="1"/>
    </xf>
    <xf numFmtId="0" fontId="36" fillId="0" borderId="31" xfId="0" applyFont="1" applyBorder="1" applyAlignment="1">
      <alignment horizontal="centerContinuous" vertical="center" wrapText="1"/>
    </xf>
    <xf numFmtId="0" fontId="36" fillId="0" borderId="32" xfId="0" applyFont="1" applyBorder="1" applyAlignment="1">
      <alignment horizontal="centerContinuous" vertical="center" wrapText="1"/>
    </xf>
    <xf numFmtId="0" fontId="36" fillId="0" borderId="33" xfId="0" applyFont="1" applyBorder="1" applyAlignment="1">
      <alignment horizontal="centerContinuous" vertical="center" wrapText="1"/>
    </xf>
    <xf numFmtId="0" fontId="36" fillId="0" borderId="33" xfId="0" applyFont="1" applyBorder="1" applyAlignment="1">
      <alignment horizontal="center" vertical="center" wrapText="1"/>
    </xf>
    <xf numFmtId="0" fontId="36" fillId="0" borderId="4" xfId="0" applyFont="1" applyBorder="1" applyAlignment="1">
      <alignment horizontal="center" vertical="center" wrapText="1"/>
    </xf>
    <xf numFmtId="181" fontId="108" fillId="0" borderId="8" xfId="0" applyNumberFormat="1" applyFont="1" applyBorder="1" applyAlignment="1">
      <alignment horizontal="center" vertical="center"/>
    </xf>
    <xf numFmtId="0" fontId="108" fillId="0" borderId="34" xfId="0" applyFont="1" applyBorder="1" applyAlignment="1">
      <alignment horizontal="center" vertical="center"/>
    </xf>
    <xf numFmtId="0" fontId="108" fillId="0" borderId="35" xfId="0" applyFont="1" applyBorder="1" applyAlignment="1">
      <alignment horizontal="center" vertical="center"/>
    </xf>
    <xf numFmtId="0" fontId="108" fillId="0" borderId="36" xfId="0" applyFont="1" applyBorder="1" applyAlignment="1">
      <alignment horizontal="center" vertical="center"/>
    </xf>
    <xf numFmtId="2" fontId="108" fillId="0" borderId="8" xfId="0" applyNumberFormat="1" applyFont="1" applyBorder="1" applyAlignment="1">
      <alignment vertical="center"/>
    </xf>
    <xf numFmtId="1" fontId="108" fillId="0" borderId="8" xfId="0" applyNumberFormat="1" applyFont="1" applyBorder="1" applyAlignment="1">
      <alignment vertical="center"/>
    </xf>
    <xf numFmtId="0" fontId="108" fillId="0" borderId="8" xfId="0" applyFont="1" applyBorder="1" applyAlignment="1">
      <alignment horizontal="center"/>
    </xf>
    <xf numFmtId="0" fontId="108" fillId="0" borderId="37" xfId="0" applyFont="1" applyBorder="1" applyAlignment="1">
      <alignment horizontal="center" vertical="center"/>
    </xf>
    <xf numFmtId="0" fontId="108" fillId="0" borderId="38" xfId="0" applyFont="1" applyBorder="1" applyAlignment="1">
      <alignment horizontal="center" vertical="center"/>
    </xf>
    <xf numFmtId="0" fontId="108" fillId="0" borderId="39" xfId="0" applyFont="1" applyBorder="1" applyAlignment="1">
      <alignment horizontal="center" vertical="center"/>
    </xf>
    <xf numFmtId="2" fontId="108" fillId="0" borderId="9" xfId="0" applyNumberFormat="1" applyFont="1" applyBorder="1" applyAlignment="1">
      <alignment vertical="center"/>
    </xf>
    <xf numFmtId="1" fontId="108" fillId="0" borderId="9" xfId="0" applyNumberFormat="1" applyFont="1" applyBorder="1" applyAlignment="1">
      <alignment vertical="center"/>
    </xf>
    <xf numFmtId="0" fontId="108" fillId="0" borderId="31" xfId="0" applyFont="1" applyBorder="1"/>
    <xf numFmtId="0" fontId="108" fillId="0" borderId="40" xfId="0" applyFont="1" applyBorder="1" applyAlignment="1">
      <alignment horizontal="centerContinuous" vertical="center"/>
    </xf>
    <xf numFmtId="0" fontId="108" fillId="0" borderId="41" xfId="0" applyFont="1" applyBorder="1"/>
    <xf numFmtId="0" fontId="36" fillId="0" borderId="42" xfId="0" applyFont="1" applyBorder="1" applyAlignment="1">
      <alignment horizontal="centerContinuous" vertical="center"/>
    </xf>
    <xf numFmtId="0" fontId="36" fillId="0" borderId="33" xfId="0" applyFont="1" applyBorder="1" applyAlignment="1">
      <alignment horizontal="center"/>
    </xf>
    <xf numFmtId="0" fontId="36" fillId="0" borderId="4" xfId="0" applyFont="1" applyBorder="1" applyAlignment="1">
      <alignment horizontal="center"/>
    </xf>
    <xf numFmtId="183" fontId="108" fillId="0" borderId="4" xfId="0" applyNumberFormat="1" applyFont="1" applyBorder="1" applyAlignment="1">
      <alignment vertical="center"/>
    </xf>
    <xf numFmtId="0" fontId="108" fillId="0" borderId="4" xfId="0" applyFont="1" applyBorder="1"/>
    <xf numFmtId="1" fontId="36" fillId="0" borderId="4" xfId="0" applyNumberFormat="1" applyFont="1" applyBorder="1"/>
    <xf numFmtId="0" fontId="108" fillId="0" borderId="34" xfId="0" applyFont="1" applyBorder="1"/>
    <xf numFmtId="0" fontId="108" fillId="0" borderId="34" xfId="0" applyFont="1" applyBorder="1" applyAlignment="1">
      <alignment horizontal="centerContinuous" vertical="center"/>
    </xf>
    <xf numFmtId="0" fontId="36" fillId="0" borderId="35" xfId="0" applyFont="1" applyBorder="1" applyAlignment="1">
      <alignment horizontal="centerContinuous" vertical="center"/>
    </xf>
    <xf numFmtId="0" fontId="108" fillId="0" borderId="36" xfId="0" applyFont="1" applyBorder="1" applyAlignment="1">
      <alignment horizontal="centerContinuous" vertical="center"/>
    </xf>
    <xf numFmtId="0" fontId="108" fillId="0" borderId="36" xfId="0" applyFont="1" applyBorder="1"/>
    <xf numFmtId="0" fontId="108" fillId="0" borderId="8" xfId="0" applyFont="1" applyBorder="1"/>
    <xf numFmtId="183" fontId="108" fillId="0" borderId="8" xfId="0" applyNumberFormat="1" applyFont="1" applyBorder="1" applyAlignment="1">
      <alignment vertical="center"/>
    </xf>
    <xf numFmtId="1" fontId="36" fillId="0" borderId="8" xfId="0" applyNumberFormat="1" applyFont="1" applyBorder="1"/>
    <xf numFmtId="0" fontId="108" fillId="0" borderId="9" xfId="0" applyFont="1" applyBorder="1" applyAlignment="1">
      <alignment horizontal="center"/>
    </xf>
    <xf numFmtId="0" fontId="108" fillId="0" borderId="37" xfId="0" applyFont="1" applyBorder="1"/>
    <xf numFmtId="0" fontId="108" fillId="0" borderId="37" xfId="0" applyFont="1" applyBorder="1" applyAlignment="1">
      <alignment horizontal="centerContinuous" vertical="center"/>
    </xf>
    <xf numFmtId="0" fontId="108" fillId="0" borderId="38" xfId="0" applyFont="1" applyBorder="1" applyAlignment="1">
      <alignment horizontal="centerContinuous" vertical="center"/>
    </xf>
    <xf numFmtId="0" fontId="108" fillId="0" borderId="39" xfId="0" applyFont="1" applyBorder="1" applyAlignment="1">
      <alignment horizontal="centerContinuous" vertical="center"/>
    </xf>
    <xf numFmtId="0" fontId="108" fillId="0" borderId="39" xfId="0" applyFont="1" applyBorder="1"/>
    <xf numFmtId="0" fontId="108" fillId="0" borderId="9" xfId="0" applyFont="1" applyBorder="1"/>
    <xf numFmtId="182" fontId="108" fillId="0" borderId="9" xfId="0" applyNumberFormat="1" applyFont="1" applyBorder="1" applyAlignment="1">
      <alignment vertical="center"/>
    </xf>
    <xf numFmtId="1" fontId="36" fillId="0" borderId="9" xfId="0" applyNumberFormat="1" applyFont="1" applyBorder="1"/>
    <xf numFmtId="178" fontId="108" fillId="0" borderId="0" xfId="0" applyNumberFormat="1" applyFont="1"/>
    <xf numFmtId="0" fontId="108" fillId="7" borderId="0" xfId="0" applyFont="1" applyFill="1"/>
    <xf numFmtId="0" fontId="101" fillId="0" borderId="0" xfId="0" applyFont="1"/>
    <xf numFmtId="0" fontId="24" fillId="0" borderId="0" xfId="0" applyFont="1" applyAlignment="1" applyProtection="1">
      <alignment horizontal="centerContinuous" vertical="center"/>
      <protection locked="0"/>
    </xf>
    <xf numFmtId="0" fontId="135" fillId="0" borderId="0" xfId="0" applyFont="1" applyAlignment="1">
      <alignment horizontal="centerContinuous"/>
    </xf>
    <xf numFmtId="0" fontId="135" fillId="0" borderId="0" xfId="0" applyFont="1"/>
    <xf numFmtId="183" fontId="116" fillId="0" borderId="4" xfId="0" applyNumberFormat="1" applyFont="1" applyBorder="1" applyAlignment="1">
      <alignment vertical="center"/>
    </xf>
    <xf numFmtId="183" fontId="116" fillId="0" borderId="8" xfId="0" applyNumberFormat="1" applyFont="1" applyBorder="1" applyAlignment="1">
      <alignment vertical="center"/>
    </xf>
    <xf numFmtId="182" fontId="116" fillId="0" borderId="9" xfId="0" applyNumberFormat="1" applyFont="1" applyBorder="1" applyAlignment="1">
      <alignment vertical="center"/>
    </xf>
    <xf numFmtId="3" fontId="9" fillId="0" borderId="4" xfId="0" applyNumberFormat="1" applyFont="1" applyBorder="1" applyAlignment="1">
      <alignment horizontal="right" vertical="center" wrapText="1"/>
    </xf>
    <xf numFmtId="3" fontId="9" fillId="0" borderId="8" xfId="0" applyNumberFormat="1" applyFont="1" applyBorder="1" applyAlignment="1">
      <alignment horizontal="right" vertical="center"/>
    </xf>
    <xf numFmtId="3" fontId="9" fillId="0" borderId="9" xfId="0" applyNumberFormat="1" applyFont="1" applyBorder="1" applyAlignment="1">
      <alignment horizontal="right" vertical="center" wrapText="1"/>
    </xf>
    <xf numFmtId="3" fontId="9" fillId="0" borderId="9" xfId="0" applyNumberFormat="1" applyFont="1" applyBorder="1" applyAlignment="1">
      <alignment horizontal="right" vertical="center"/>
    </xf>
    <xf numFmtId="0" fontId="43" fillId="0" borderId="13" xfId="0" applyFont="1" applyBorder="1" applyAlignment="1">
      <alignment horizontal="right" vertical="center"/>
    </xf>
    <xf numFmtId="0" fontId="27" fillId="0" borderId="0" xfId="0" applyFont="1" applyAlignment="1">
      <alignment vertical="center"/>
    </xf>
    <xf numFmtId="0" fontId="4" fillId="0" borderId="7" xfId="0" applyFont="1" applyBorder="1" applyAlignment="1">
      <alignment horizontal="justify" vertical="center" wrapText="1"/>
    </xf>
    <xf numFmtId="0" fontId="4" fillId="0" borderId="10" xfId="0" applyFont="1" applyBorder="1" applyAlignment="1">
      <alignment horizontal="justify" vertical="center" wrapText="1"/>
    </xf>
    <xf numFmtId="173" fontId="108" fillId="0" borderId="8" xfId="0" applyNumberFormat="1" applyFont="1" applyBorder="1" applyAlignment="1">
      <alignment vertical="center"/>
    </xf>
    <xf numFmtId="173" fontId="9" fillId="0" borderId="3" xfId="0" applyNumberFormat="1" applyFont="1" applyBorder="1" applyAlignment="1">
      <alignment vertical="center"/>
    </xf>
    <xf numFmtId="173" fontId="4" fillId="0" borderId="24" xfId="0" applyNumberFormat="1" applyFont="1" applyBorder="1" applyAlignment="1">
      <alignment horizontal="center" vertical="center" wrapText="1"/>
    </xf>
    <xf numFmtId="0" fontId="115" fillId="0" borderId="22" xfId="0" applyFont="1" applyBorder="1" applyAlignment="1">
      <alignment vertical="center"/>
    </xf>
    <xf numFmtId="0" fontId="7" fillId="0" borderId="0" xfId="0" quotePrefix="1" applyFont="1" applyAlignment="1">
      <alignment vertical="center"/>
    </xf>
    <xf numFmtId="173" fontId="4" fillId="0" borderId="0" xfId="0" applyNumberFormat="1" applyFont="1" applyAlignment="1">
      <alignment horizontal="center" vertical="center" wrapText="1"/>
    </xf>
    <xf numFmtId="173" fontId="4" fillId="0" borderId="22" xfId="0" applyNumberFormat="1" applyFont="1" applyBorder="1" applyAlignment="1">
      <alignment horizontal="center" vertical="center" wrapText="1"/>
    </xf>
    <xf numFmtId="3" fontId="29" fillId="0" borderId="3" xfId="0" applyNumberFormat="1" applyFont="1" applyBorder="1" applyAlignment="1">
      <alignment horizontal="center" vertical="center"/>
    </xf>
    <xf numFmtId="0" fontId="4" fillId="0" borderId="0" xfId="0" quotePrefix="1" applyFont="1" applyAlignment="1">
      <alignment horizontal="justify" vertical="center"/>
    </xf>
    <xf numFmtId="0" fontId="44" fillId="0" borderId="3" xfId="0" applyFont="1" applyBorder="1" applyAlignment="1">
      <alignment horizontal="center" vertical="center" wrapText="1"/>
    </xf>
    <xf numFmtId="4" fontId="44" fillId="0" borderId="3" xfId="0" applyNumberFormat="1" applyFont="1" applyBorder="1" applyAlignment="1">
      <alignment horizontal="right" vertical="center"/>
    </xf>
    <xf numFmtId="3" fontId="44" fillId="0" borderId="3" xfId="0" applyNumberFormat="1" applyFont="1" applyBorder="1" applyAlignment="1">
      <alignment horizontal="right" vertical="center"/>
    </xf>
    <xf numFmtId="2" fontId="29" fillId="0" borderId="3" xfId="0" applyNumberFormat="1" applyFont="1" applyBorder="1" applyAlignment="1">
      <alignment horizontal="center" vertical="center" wrapText="1"/>
    </xf>
    <xf numFmtId="49" fontId="44" fillId="0" borderId="3" xfId="0" applyNumberFormat="1" applyFont="1" applyBorder="1" applyAlignment="1">
      <alignment horizontal="center" vertical="center" wrapText="1"/>
    </xf>
    <xf numFmtId="0" fontId="44" fillId="9" borderId="3" xfId="0" applyFont="1" applyFill="1" applyBorder="1" applyAlignment="1">
      <alignment horizontal="center" vertical="center" wrapText="1"/>
    </xf>
    <xf numFmtId="0" fontId="29" fillId="8" borderId="8" xfId="0" applyFont="1" applyFill="1" applyBorder="1" applyAlignment="1">
      <alignment horizontal="center" vertical="center"/>
    </xf>
    <xf numFmtId="2" fontId="29" fillId="8" borderId="8" xfId="0" applyNumberFormat="1" applyFont="1" applyFill="1" applyBorder="1" applyAlignment="1">
      <alignment horizontal="center" vertical="center"/>
    </xf>
    <xf numFmtId="0" fontId="29" fillId="8" borderId="8" xfId="0" applyFont="1" applyFill="1" applyBorder="1" applyAlignment="1">
      <alignment vertical="center"/>
    </xf>
    <xf numFmtId="0" fontId="29" fillId="8" borderId="8" xfId="0" applyFont="1" applyFill="1" applyBorder="1" applyAlignment="1">
      <alignment horizontal="center" vertical="center" wrapText="1"/>
    </xf>
    <xf numFmtId="4" fontId="29" fillId="0" borderId="8" xfId="0" applyNumberFormat="1" applyFont="1" applyBorder="1" applyAlignment="1">
      <alignment horizontal="right" vertical="center"/>
    </xf>
    <xf numFmtId="3" fontId="29" fillId="0" borderId="8" xfId="0" applyNumberFormat="1" applyFont="1" applyBorder="1" applyAlignment="1">
      <alignment horizontal="right"/>
    </xf>
    <xf numFmtId="0" fontId="29" fillId="0" borderId="0" xfId="0" applyFont="1" applyAlignment="1">
      <alignment horizontal="centerContinuous" vertical="center"/>
    </xf>
    <xf numFmtId="3" fontId="29" fillId="0" borderId="4" xfId="0" applyNumberFormat="1" applyFont="1" applyBorder="1" applyAlignment="1">
      <alignment horizontal="right" vertical="center"/>
    </xf>
    <xf numFmtId="0" fontId="29" fillId="0" borderId="4" xfId="0" applyFont="1" applyBorder="1" applyAlignment="1">
      <alignment horizontal="right" vertical="center"/>
    </xf>
    <xf numFmtId="0" fontId="29" fillId="0" borderId="8" xfId="0" applyFont="1" applyBorder="1" applyAlignment="1">
      <alignment horizontal="right" vertical="center"/>
    </xf>
    <xf numFmtId="3" fontId="29" fillId="0" borderId="8" xfId="0" applyNumberFormat="1" applyFont="1" applyBorder="1" applyAlignment="1">
      <alignment horizontal="right" vertical="center"/>
    </xf>
    <xf numFmtId="0" fontId="44" fillId="0" borderId="9" xfId="0" applyFont="1" applyBorder="1" applyAlignment="1">
      <alignment horizontal="right" vertical="center"/>
    </xf>
    <xf numFmtId="0" fontId="44" fillId="0" borderId="3" xfId="0" applyFont="1" applyBorder="1" applyAlignment="1">
      <alignment horizontal="right" vertical="center"/>
    </xf>
    <xf numFmtId="179" fontId="44" fillId="0" borderId="3" xfId="0" applyNumberFormat="1" applyFont="1" applyBorder="1" applyAlignment="1">
      <alignment horizontal="right" vertical="center"/>
    </xf>
    <xf numFmtId="0" fontId="29" fillId="0" borderId="9" xfId="0" applyFont="1" applyBorder="1" applyAlignment="1">
      <alignment horizontal="right" vertical="center"/>
    </xf>
    <xf numFmtId="0" fontId="29" fillId="8" borderId="4" xfId="0" applyFont="1" applyFill="1" applyBorder="1" applyAlignment="1">
      <alignment horizontal="left" vertical="center" wrapText="1"/>
    </xf>
    <xf numFmtId="0" fontId="29" fillId="8" borderId="9" xfId="0" applyFont="1" applyFill="1" applyBorder="1" applyAlignment="1">
      <alignment horizontal="left" vertical="center" wrapText="1"/>
    </xf>
    <xf numFmtId="0" fontId="29" fillId="8" borderId="8" xfId="0" applyFont="1" applyFill="1" applyBorder="1" applyAlignment="1">
      <alignment horizontal="left" vertical="center" wrapText="1"/>
    </xf>
    <xf numFmtId="0" fontId="29" fillId="0" borderId="9" xfId="0" applyFont="1" applyBorder="1" applyAlignment="1">
      <alignment vertical="center"/>
    </xf>
    <xf numFmtId="0" fontId="49" fillId="0" borderId="0" xfId="0" applyFont="1" applyAlignment="1">
      <alignment horizontal="centerContinuous" vertical="center" wrapText="1"/>
    </xf>
    <xf numFmtId="0" fontId="70" fillId="0" borderId="0" xfId="0" applyFont="1" applyAlignment="1">
      <alignment vertical="center"/>
    </xf>
    <xf numFmtId="3" fontId="29" fillId="0" borderId="9" xfId="0" applyNumberFormat="1" applyFont="1" applyBorder="1" applyAlignment="1">
      <alignment horizontal="right" vertical="center"/>
    </xf>
    <xf numFmtId="3" fontId="29" fillId="0" borderId="0" xfId="0" applyNumberFormat="1" applyFont="1" applyAlignment="1">
      <alignment horizontal="centerContinuous" vertical="center"/>
    </xf>
    <xf numFmtId="3" fontId="29" fillId="0" borderId="4" xfId="0" applyNumberFormat="1" applyFont="1" applyBorder="1" applyAlignment="1">
      <alignment vertical="center"/>
    </xf>
    <xf numFmtId="3" fontId="29" fillId="0" borderId="11" xfId="0" applyNumberFormat="1" applyFont="1" applyBorder="1" applyAlignment="1">
      <alignment vertical="center"/>
    </xf>
    <xf numFmtId="3" fontId="29" fillId="0" borderId="9" xfId="0" applyNumberFormat="1" applyFont="1" applyBorder="1" applyAlignment="1">
      <alignment vertical="center"/>
    </xf>
    <xf numFmtId="3" fontId="44" fillId="0" borderId="3" xfId="0" applyNumberFormat="1" applyFont="1" applyBorder="1" applyAlignment="1">
      <alignment vertical="center"/>
    </xf>
    <xf numFmtId="3" fontId="136" fillId="0" borderId="3" xfId="0" applyNumberFormat="1" applyFont="1" applyBorder="1" applyAlignment="1">
      <alignment vertical="center"/>
    </xf>
    <xf numFmtId="3" fontId="29" fillId="0" borderId="0" xfId="0" applyNumberFormat="1" applyFont="1" applyAlignment="1">
      <alignment vertical="center"/>
    </xf>
    <xf numFmtId="3" fontId="136" fillId="0" borderId="3" xfId="0" applyNumberFormat="1" applyFont="1" applyBorder="1" applyAlignment="1">
      <alignment horizontal="right" vertical="center"/>
    </xf>
    <xf numFmtId="0" fontId="43" fillId="0" borderId="0" xfId="0" applyFont="1" applyAlignment="1">
      <alignment horizontal="center" vertical="center"/>
    </xf>
    <xf numFmtId="0" fontId="80" fillId="0" borderId="0" xfId="0" applyFont="1" applyAlignment="1" applyProtection="1">
      <alignment horizontal="center" vertical="center"/>
      <protection locked="0"/>
    </xf>
    <xf numFmtId="3" fontId="43" fillId="0" borderId="13" xfId="0" applyNumberFormat="1" applyFont="1" applyBorder="1" applyAlignment="1">
      <alignment horizontal="center" vertical="center"/>
    </xf>
    <xf numFmtId="0" fontId="29" fillId="8" borderId="4" xfId="0" applyFont="1" applyFill="1" applyBorder="1" applyAlignment="1">
      <alignment horizontal="right" vertical="center" wrapText="1"/>
    </xf>
    <xf numFmtId="0" fontId="29" fillId="8" borderId="8" xfId="0" applyFont="1" applyFill="1" applyBorder="1" applyAlignment="1">
      <alignment horizontal="right" vertical="center" wrapText="1"/>
    </xf>
    <xf numFmtId="0" fontId="44" fillId="0" borderId="9" xfId="0" applyFont="1" applyBorder="1" applyAlignment="1">
      <alignment horizontal="center" vertical="center"/>
    </xf>
    <xf numFmtId="0" fontId="29" fillId="8" borderId="4" xfId="0" applyFont="1" applyFill="1" applyBorder="1" applyAlignment="1">
      <alignment horizontal="right" vertical="center"/>
    </xf>
    <xf numFmtId="0" fontId="29" fillId="8" borderId="9" xfId="0" applyFont="1" applyFill="1" applyBorder="1" applyAlignment="1">
      <alignment horizontal="right" vertical="center"/>
    </xf>
    <xf numFmtId="0" fontId="29" fillId="0" borderId="0" xfId="0" applyFont="1" applyAlignment="1">
      <alignment horizontal="right" vertical="center"/>
    </xf>
    <xf numFmtId="0" fontId="0" fillId="0" borderId="0" xfId="0" applyAlignment="1">
      <alignment horizontal="right" vertical="center"/>
    </xf>
    <xf numFmtId="0" fontId="29" fillId="0" borderId="0" xfId="0" applyFont="1" applyAlignment="1">
      <alignment horizontal="center" vertical="center" wrapText="1"/>
    </xf>
    <xf numFmtId="3" fontId="4" fillId="0" borderId="0" xfId="0" applyNumberFormat="1" applyFont="1" applyAlignment="1">
      <alignment horizontal="left" vertical="center"/>
    </xf>
    <xf numFmtId="3" fontId="7" fillId="0" borderId="0" xfId="0" applyNumberFormat="1" applyFont="1" applyAlignment="1">
      <alignment horizontal="left" vertical="center"/>
    </xf>
    <xf numFmtId="0" fontId="35" fillId="6" borderId="3" xfId="0" applyFont="1" applyFill="1" applyBorder="1" applyAlignment="1">
      <alignment horizontal="center" vertical="center" wrapText="1"/>
    </xf>
    <xf numFmtId="0" fontId="137" fillId="0" borderId="0" xfId="0" applyFont="1" applyAlignment="1">
      <alignment horizontal="center" vertical="center"/>
    </xf>
    <xf numFmtId="0" fontId="108" fillId="0" borderId="0" xfId="0" applyFont="1" applyAlignment="1">
      <alignment horizontal="justify" vertical="center"/>
    </xf>
    <xf numFmtId="0" fontId="116" fillId="0" borderId="0" xfId="0" applyFont="1" applyAlignment="1">
      <alignment horizontal="centerContinuous" vertical="center"/>
    </xf>
    <xf numFmtId="0" fontId="116" fillId="0" borderId="0" xfId="0" applyFont="1" applyAlignment="1">
      <alignment horizontal="centerContinuous" vertical="top"/>
    </xf>
    <xf numFmtId="0" fontId="112" fillId="0" borderId="0" xfId="0" applyFont="1" applyAlignment="1">
      <alignment horizontal="right" vertical="center"/>
    </xf>
    <xf numFmtId="0" fontId="92" fillId="0" borderId="0" xfId="0" applyFont="1" applyAlignment="1">
      <alignment horizontal="centerContinuous" vertical="center" wrapText="1"/>
    </xf>
    <xf numFmtId="0" fontId="33" fillId="0" borderId="0" xfId="0" applyFont="1" applyAlignment="1">
      <alignment horizontal="centerContinuous" vertical="center" wrapText="1"/>
    </xf>
    <xf numFmtId="0" fontId="32" fillId="0" borderId="0" xfId="0" applyFont="1" applyAlignment="1">
      <alignment vertical="center" wrapText="1"/>
    </xf>
    <xf numFmtId="0" fontId="0" fillId="0" borderId="0" xfId="0" applyAlignment="1">
      <alignment wrapText="1"/>
    </xf>
    <xf numFmtId="49" fontId="37" fillId="0" borderId="7" xfId="0" applyNumberFormat="1" applyFont="1" applyBorder="1" applyAlignment="1" applyProtection="1">
      <alignment horizontal="center" vertical="center" wrapText="1"/>
      <protection locked="0"/>
    </xf>
    <xf numFmtId="49" fontId="4" fillId="0" borderId="7" xfId="0" applyNumberFormat="1" applyFont="1" applyBorder="1" applyAlignment="1" applyProtection="1">
      <alignment horizontal="center" vertical="center" wrapText="1"/>
      <protection locked="0"/>
    </xf>
    <xf numFmtId="49" fontId="4" fillId="0" borderId="0" xfId="0" applyNumberFormat="1" applyFont="1" applyAlignment="1">
      <alignment horizontal="centerContinuous" vertical="center" wrapText="1"/>
    </xf>
    <xf numFmtId="49" fontId="7" fillId="0" borderId="0" xfId="0" applyNumberFormat="1" applyFont="1" applyAlignment="1">
      <alignment horizontal="centerContinuous" vertical="center" wrapText="1"/>
    </xf>
    <xf numFmtId="49" fontId="4" fillId="0" borderId="0" xfId="0" applyNumberFormat="1" applyFont="1" applyAlignment="1">
      <alignment horizontal="center" vertical="center" wrapText="1"/>
    </xf>
    <xf numFmtId="49" fontId="29" fillId="0" borderId="3" xfId="0" applyNumberFormat="1" applyFont="1" applyBorder="1" applyAlignment="1">
      <alignment horizontal="center" vertical="center" wrapText="1"/>
    </xf>
    <xf numFmtId="0" fontId="92" fillId="0" borderId="0" xfId="0" applyFont="1" applyAlignment="1" applyProtection="1">
      <alignment horizontal="centerContinuous" vertical="center" wrapText="1"/>
      <protection locked="0"/>
    </xf>
    <xf numFmtId="0" fontId="122" fillId="0" borderId="0" xfId="0" applyFont="1" applyAlignment="1" applyProtection="1">
      <alignment horizontal="centerContinuous" vertical="center" wrapText="1"/>
      <protection locked="0"/>
    </xf>
    <xf numFmtId="0" fontId="76" fillId="0" borderId="0" xfId="0" applyFont="1" applyAlignment="1">
      <alignment horizontal="centerContinuous" vertical="center" wrapText="1"/>
    </xf>
    <xf numFmtId="0" fontId="122" fillId="0" borderId="0" xfId="0" applyFont="1" applyAlignment="1">
      <alignment horizontal="centerContinuous" vertical="center" wrapText="1"/>
    </xf>
    <xf numFmtId="3" fontId="32" fillId="0" borderId="0" xfId="0" applyNumberFormat="1" applyFont="1" applyAlignment="1">
      <alignment vertical="center" wrapText="1"/>
    </xf>
    <xf numFmtId="0" fontId="39" fillId="0" borderId="0" xfId="0" applyFont="1" applyAlignment="1">
      <alignment horizontal="centerContinuous" vertical="center" wrapText="1"/>
    </xf>
    <xf numFmtId="0" fontId="122" fillId="0" borderId="0" xfId="0" applyFont="1" applyAlignment="1">
      <alignment horizontal="centerContinuous" vertical="center"/>
    </xf>
    <xf numFmtId="0" fontId="76" fillId="0" borderId="0" xfId="0" applyFont="1" applyAlignment="1">
      <alignment horizontal="centerContinuous" vertical="center"/>
    </xf>
    <xf numFmtId="2" fontId="28" fillId="0" borderId="0" xfId="0" applyNumberFormat="1" applyFont="1" applyAlignment="1">
      <alignment vertical="center"/>
    </xf>
    <xf numFmtId="0" fontId="28" fillId="0" borderId="0" xfId="0" applyFont="1" applyAlignment="1">
      <alignment vertical="center"/>
    </xf>
    <xf numFmtId="2" fontId="70" fillId="0" borderId="0" xfId="0" applyNumberFormat="1" applyFont="1" applyAlignment="1">
      <alignment vertical="center"/>
    </xf>
    <xf numFmtId="2" fontId="29" fillId="0" borderId="0" xfId="0" applyNumberFormat="1" applyFont="1" applyAlignment="1">
      <alignment vertical="center"/>
    </xf>
    <xf numFmtId="0" fontId="108" fillId="18" borderId="0" xfId="0" applyFont="1" applyFill="1" applyAlignment="1">
      <alignment vertical="center"/>
    </xf>
    <xf numFmtId="0" fontId="116" fillId="18" borderId="0" xfId="0" applyFont="1" applyFill="1" applyAlignment="1">
      <alignment vertical="center"/>
    </xf>
    <xf numFmtId="0" fontId="112" fillId="18" borderId="0" xfId="0" applyFont="1" applyFill="1" applyAlignment="1">
      <alignment vertical="center"/>
    </xf>
    <xf numFmtId="0" fontId="116" fillId="18" borderId="0" xfId="0" applyFont="1" applyFill="1"/>
    <xf numFmtId="0" fontId="112" fillId="18" borderId="0" xfId="0" applyFont="1" applyFill="1"/>
    <xf numFmtId="0" fontId="93" fillId="0" borderId="0" xfId="0" applyFont="1" applyAlignment="1" applyProtection="1">
      <alignment horizontal="centerContinuous" vertical="center"/>
      <protection locked="0"/>
    </xf>
    <xf numFmtId="0" fontId="49" fillId="0" borderId="0" xfId="0" applyFont="1" applyAlignment="1">
      <alignment horizontal="centerContinuous" vertical="center"/>
    </xf>
    <xf numFmtId="0" fontId="49" fillId="0" borderId="0" xfId="0" applyFont="1" applyAlignment="1">
      <alignment vertical="center"/>
    </xf>
    <xf numFmtId="0" fontId="46" fillId="0" borderId="0" xfId="0" applyFont="1" applyAlignment="1" applyProtection="1">
      <alignment horizontal="centerContinuous" vertical="center"/>
      <protection locked="0"/>
    </xf>
    <xf numFmtId="1" fontId="4" fillId="0" borderId="0" xfId="0" applyNumberFormat="1" applyFont="1" applyAlignment="1">
      <alignment horizontal="center" vertical="center"/>
    </xf>
    <xf numFmtId="1" fontId="32" fillId="0" borderId="3" xfId="0" applyNumberFormat="1" applyFont="1" applyBorder="1" applyAlignment="1" applyProtection="1">
      <alignment horizontal="center" vertical="center"/>
      <protection hidden="1"/>
    </xf>
    <xf numFmtId="4" fontId="32" fillId="0" borderId="3" xfId="0" applyNumberFormat="1" applyFont="1" applyBorder="1" applyAlignment="1" applyProtection="1">
      <alignment horizontal="center" vertical="center"/>
      <protection hidden="1"/>
    </xf>
    <xf numFmtId="167" fontId="32" fillId="0" borderId="3" xfId="0" applyNumberFormat="1" applyFont="1" applyBorder="1" applyAlignment="1" applyProtection="1">
      <alignment horizontal="center" vertical="center"/>
      <protection hidden="1"/>
    </xf>
    <xf numFmtId="166" fontId="32" fillId="0" borderId="3" xfId="0" applyNumberFormat="1" applyFont="1" applyBorder="1" applyAlignment="1" applyProtection="1">
      <alignment horizontal="center" vertical="center"/>
      <protection hidden="1"/>
    </xf>
    <xf numFmtId="3" fontId="32" fillId="0" borderId="3" xfId="0" applyNumberFormat="1" applyFont="1" applyBorder="1" applyAlignment="1" applyProtection="1">
      <alignment horizontal="center" vertical="center"/>
      <protection hidden="1"/>
    </xf>
    <xf numFmtId="3" fontId="32" fillId="0" borderId="0" xfId="0" applyNumberFormat="1" applyFont="1" applyAlignment="1" applyProtection="1">
      <alignment horizontal="center" vertical="center"/>
      <protection hidden="1"/>
    </xf>
    <xf numFmtId="4" fontId="32" fillId="0" borderId="0" xfId="0" applyNumberFormat="1" applyFont="1" applyAlignment="1" applyProtection="1">
      <alignment horizontal="center" vertical="center"/>
      <protection hidden="1"/>
    </xf>
    <xf numFmtId="1" fontId="4" fillId="0" borderId="0" xfId="0" applyNumberFormat="1" applyFont="1" applyAlignment="1" applyProtection="1">
      <alignment horizontal="center" vertical="center"/>
      <protection hidden="1"/>
    </xf>
    <xf numFmtId="4" fontId="4" fillId="0" borderId="0" xfId="0" applyNumberFormat="1" applyFont="1" applyAlignment="1" applyProtection="1">
      <alignment horizontal="center" vertical="center"/>
      <protection hidden="1"/>
    </xf>
    <xf numFmtId="167" fontId="4" fillId="0" borderId="0" xfId="0" applyNumberFormat="1" applyFont="1" applyAlignment="1" applyProtection="1">
      <alignment horizontal="center" vertical="center"/>
      <protection hidden="1"/>
    </xf>
    <xf numFmtId="3" fontId="4" fillId="0" borderId="0" xfId="0" applyNumberFormat="1" applyFont="1" applyAlignment="1" applyProtection="1">
      <alignment horizontal="right" vertical="center"/>
      <protection hidden="1"/>
    </xf>
    <xf numFmtId="4" fontId="7" fillId="0" borderId="0" xfId="0" applyNumberFormat="1" applyFont="1" applyAlignment="1" applyProtection="1">
      <alignment horizontal="center" vertical="center"/>
      <protection hidden="1"/>
    </xf>
    <xf numFmtId="3" fontId="49" fillId="0" borderId="0" xfId="0" applyNumberFormat="1" applyFont="1" applyAlignment="1">
      <alignment horizontal="centerContinuous" vertical="center"/>
    </xf>
    <xf numFmtId="0" fontId="4" fillId="18" borderId="0" xfId="0" applyFont="1" applyFill="1" applyAlignment="1">
      <alignment vertical="center"/>
    </xf>
    <xf numFmtId="0" fontId="4" fillId="18" borderId="0" xfId="0" applyFont="1" applyFill="1" applyAlignment="1">
      <alignment horizontal="center" vertical="center"/>
    </xf>
    <xf numFmtId="0" fontId="4" fillId="18" borderId="0" xfId="0" applyFont="1" applyFill="1" applyAlignment="1">
      <alignment vertical="center" wrapText="1"/>
    </xf>
    <xf numFmtId="0" fontId="18" fillId="18" borderId="0" xfId="0" applyFont="1" applyFill="1" applyAlignment="1">
      <alignment vertical="center" wrapText="1"/>
    </xf>
    <xf numFmtId="0" fontId="117" fillId="18" borderId="0" xfId="0" applyFont="1" applyFill="1" applyAlignment="1">
      <alignment vertical="center"/>
    </xf>
    <xf numFmtId="0" fontId="116" fillId="18" borderId="0" xfId="0" applyFont="1" applyFill="1" applyAlignment="1">
      <alignment horizontal="right" vertical="center"/>
    </xf>
    <xf numFmtId="0" fontId="108" fillId="18" borderId="0" xfId="0" applyFont="1" applyFill="1"/>
    <xf numFmtId="0" fontId="39" fillId="0" borderId="0" xfId="0" applyFont="1" applyAlignment="1">
      <alignment horizontal="centerContinuous" vertical="center"/>
    </xf>
    <xf numFmtId="3" fontId="9" fillId="0" borderId="8" xfId="0" applyNumberFormat="1" applyFont="1" applyBorder="1" applyAlignment="1">
      <alignment horizontal="center" vertical="center" wrapText="1"/>
    </xf>
    <xf numFmtId="0" fontId="140" fillId="0" borderId="0" xfId="0" applyFont="1" applyAlignment="1">
      <alignment vertical="center"/>
    </xf>
    <xf numFmtId="0" fontId="140" fillId="0" borderId="0" xfId="0" applyFont="1" applyAlignment="1">
      <alignment vertical="center" wrapText="1"/>
    </xf>
    <xf numFmtId="49" fontId="0" fillId="0" borderId="0" xfId="0" applyNumberFormat="1" applyAlignment="1">
      <alignment vertical="center"/>
    </xf>
    <xf numFmtId="0" fontId="28" fillId="0" borderId="0" xfId="0" applyFont="1" applyAlignment="1">
      <alignment horizontal="justify" vertical="center" wrapText="1"/>
    </xf>
    <xf numFmtId="3" fontId="38" fillId="3" borderId="9" xfId="0" applyNumberFormat="1" applyFont="1" applyFill="1" applyBorder="1" applyAlignment="1">
      <alignment horizontal="justify" vertical="center" wrapText="1"/>
    </xf>
    <xf numFmtId="10" fontId="4" fillId="0" borderId="0" xfId="0" applyNumberFormat="1" applyFont="1" applyAlignment="1">
      <alignment horizontal="center" vertical="center"/>
    </xf>
    <xf numFmtId="10" fontId="7" fillId="0" borderId="0" xfId="0" applyNumberFormat="1" applyFont="1" applyAlignment="1">
      <alignment horizontal="center" vertical="center"/>
    </xf>
    <xf numFmtId="10" fontId="43" fillId="0" borderId="0" xfId="0" applyNumberFormat="1" applyFont="1" applyAlignment="1">
      <alignment horizontal="center" vertical="center"/>
    </xf>
    <xf numFmtId="10" fontId="75" fillId="0" borderId="3" xfId="0" applyNumberFormat="1" applyFont="1" applyBorder="1" applyAlignment="1" applyProtection="1">
      <alignment horizontal="center" vertical="center" wrapText="1"/>
      <protection locked="0"/>
    </xf>
    <xf numFmtId="3" fontId="4" fillId="0" borderId="8" xfId="0" applyNumberFormat="1" applyFont="1" applyBorder="1" applyAlignment="1" applyProtection="1">
      <alignment horizontal="center" vertical="center"/>
      <protection hidden="1"/>
    </xf>
    <xf numFmtId="2" fontId="4" fillId="0" borderId="8" xfId="0" applyNumberFormat="1" applyFont="1" applyBorder="1" applyAlignment="1" applyProtection="1">
      <alignment horizontal="center" vertical="center" wrapText="1"/>
      <protection hidden="1"/>
    </xf>
    <xf numFmtId="2" fontId="4" fillId="0" borderId="8" xfId="0" applyNumberFormat="1" applyFont="1" applyBorder="1" applyAlignment="1" applyProtection="1">
      <alignment horizontal="justify" vertical="center" wrapText="1"/>
      <protection hidden="1"/>
    </xf>
    <xf numFmtId="0" fontId="141" fillId="0" borderId="0" xfId="0" applyFont="1" applyAlignment="1">
      <alignment horizontal="centerContinuous" vertical="center"/>
    </xf>
    <xf numFmtId="0" fontId="142" fillId="0" borderId="0" xfId="0" applyFont="1" applyAlignment="1">
      <alignment horizontal="centerContinuous" vertical="center"/>
    </xf>
    <xf numFmtId="0" fontId="40" fillId="0" borderId="0" xfId="0" applyFont="1" applyAlignment="1">
      <alignment horizontal="centerContinuous" vertical="center"/>
    </xf>
    <xf numFmtId="0" fontId="30" fillId="0" borderId="0" xfId="0" applyFont="1" applyAlignment="1">
      <alignment horizontal="centerContinuous" vertical="center" wrapText="1"/>
    </xf>
    <xf numFmtId="0" fontId="30" fillId="0" borderId="0" xfId="0" applyFont="1" applyAlignment="1">
      <alignment horizontal="centerContinuous" vertical="center"/>
    </xf>
    <xf numFmtId="179" fontId="30" fillId="0" borderId="0" xfId="0" applyNumberFormat="1" applyFont="1" applyAlignment="1">
      <alignment horizontal="centerContinuous" vertical="center"/>
    </xf>
    <xf numFmtId="0" fontId="41" fillId="0" borderId="0" xfId="0" applyFont="1" applyAlignment="1">
      <alignment horizontal="right" vertical="center"/>
    </xf>
    <xf numFmtId="0" fontId="4" fillId="0" borderId="0" xfId="0" applyFont="1" applyAlignment="1">
      <alignment horizontal="justify" vertical="center"/>
    </xf>
    <xf numFmtId="0" fontId="9" fillId="0" borderId="0" xfId="0" applyFont="1" applyAlignment="1" applyProtection="1">
      <alignment horizontal="centerContinuous" vertical="center"/>
      <protection locked="0"/>
    </xf>
    <xf numFmtId="0" fontId="9" fillId="4" borderId="10" xfId="0" applyFont="1" applyFill="1" applyBorder="1" applyAlignment="1" applyProtection="1">
      <alignment vertical="center"/>
      <protection locked="0"/>
    </xf>
    <xf numFmtId="0" fontId="9" fillId="0" borderId="10" xfId="0" applyFont="1" applyBorder="1" applyAlignment="1" applyProtection="1">
      <alignment vertical="center"/>
      <protection locked="0"/>
    </xf>
    <xf numFmtId="3" fontId="37" fillId="0" borderId="0" xfId="0" applyNumberFormat="1" applyFont="1" applyAlignment="1">
      <alignment horizontal="centerContinuous" vertical="center"/>
    </xf>
    <xf numFmtId="3" fontId="37" fillId="0" borderId="0" xfId="0" applyNumberFormat="1" applyFont="1" applyAlignment="1">
      <alignment vertical="center"/>
    </xf>
    <xf numFmtId="3" fontId="75" fillId="0" borderId="12" xfId="0" applyNumberFormat="1" applyFont="1" applyBorder="1" applyAlignment="1">
      <alignment horizontal="center" vertical="center" wrapText="1"/>
    </xf>
    <xf numFmtId="3" fontId="14" fillId="0" borderId="0" xfId="0" applyNumberFormat="1" applyFont="1" applyAlignment="1">
      <alignment vertical="center"/>
    </xf>
    <xf numFmtId="9" fontId="123" fillId="0" borderId="0" xfId="0" applyNumberFormat="1" applyFont="1" applyAlignment="1">
      <alignment horizontal="centerContinuous" vertical="center"/>
    </xf>
    <xf numFmtId="9" fontId="54" fillId="0" borderId="0" xfId="0" applyNumberFormat="1" applyFont="1" applyAlignment="1">
      <alignment horizontal="centerContinuous" vertical="center"/>
    </xf>
    <xf numFmtId="9" fontId="55" fillId="0" borderId="13" xfId="0" applyNumberFormat="1" applyFont="1" applyBorder="1" applyAlignment="1" applyProtection="1">
      <alignment horizontal="center" vertical="center"/>
      <protection locked="0"/>
    </xf>
    <xf numFmtId="9" fontId="75" fillId="0" borderId="3" xfId="0" applyNumberFormat="1" applyFont="1" applyBorder="1" applyAlignment="1">
      <alignment horizontal="center" vertical="center"/>
    </xf>
    <xf numFmtId="9" fontId="30" fillId="0" borderId="0" xfId="0" applyNumberFormat="1" applyFont="1" applyAlignment="1">
      <alignment horizontal="center" vertical="center"/>
    </xf>
    <xf numFmtId="9" fontId="2" fillId="0" borderId="0" xfId="0" applyNumberFormat="1" applyFont="1" applyAlignment="1">
      <alignment horizontal="center" vertical="center"/>
    </xf>
    <xf numFmtId="9" fontId="52" fillId="0" borderId="0" xfId="0" applyNumberFormat="1" applyFont="1" applyAlignment="1">
      <alignment horizontal="centerContinuous" vertical="center"/>
    </xf>
    <xf numFmtId="9" fontId="53" fillId="0" borderId="0" xfId="0" applyNumberFormat="1" applyFont="1" applyAlignment="1">
      <alignment horizontal="centerContinuous" vertical="center"/>
    </xf>
    <xf numFmtId="0" fontId="9" fillId="0" borderId="4" xfId="0" applyFont="1" applyBorder="1" applyAlignment="1">
      <alignment horizontal="center" vertical="center" wrapText="1"/>
    </xf>
    <xf numFmtId="1" fontId="4" fillId="0" borderId="14" xfId="0" applyNumberFormat="1" applyFont="1" applyBorder="1" applyAlignment="1">
      <alignment horizontal="center" vertical="center" wrapText="1"/>
    </xf>
    <xf numFmtId="1" fontId="9" fillId="0" borderId="14" xfId="0" applyNumberFormat="1" applyFont="1" applyBorder="1" applyAlignment="1">
      <alignment horizontal="center" vertical="center" wrapText="1"/>
    </xf>
    <xf numFmtId="0" fontId="9" fillId="0" borderId="4" xfId="0" applyFont="1" applyBorder="1" applyAlignment="1">
      <alignment horizontal="right" vertical="center" wrapText="1"/>
    </xf>
    <xf numFmtId="0" fontId="9" fillId="0" borderId="8" xfId="0" applyFont="1" applyBorder="1" applyAlignment="1">
      <alignment horizontal="right" vertical="center"/>
    </xf>
    <xf numFmtId="0" fontId="4" fillId="0" borderId="14" xfId="0" applyFont="1" applyBorder="1" applyAlignment="1">
      <alignment horizontal="right" vertical="center" wrapText="1"/>
    </xf>
    <xf numFmtId="0" fontId="9" fillId="0" borderId="14" xfId="0" applyFont="1" applyBorder="1" applyAlignment="1">
      <alignment horizontal="right" vertical="center" wrapText="1"/>
    </xf>
    <xf numFmtId="0" fontId="9" fillId="0" borderId="9" xfId="0" applyFont="1" applyBorder="1" applyAlignment="1">
      <alignment horizontal="right" vertical="center" wrapText="1"/>
    </xf>
    <xf numFmtId="0" fontId="0" fillId="0" borderId="0" xfId="0" applyAlignment="1">
      <alignment horizontal="right"/>
    </xf>
    <xf numFmtId="3" fontId="4" fillId="0" borderId="8" xfId="0" applyNumberFormat="1" applyFont="1" applyBorder="1" applyAlignment="1">
      <alignment horizontal="right" vertical="center" wrapText="1"/>
    </xf>
    <xf numFmtId="3" fontId="4" fillId="0" borderId="14" xfId="0" applyNumberFormat="1" applyFont="1" applyBorder="1" applyAlignment="1">
      <alignment horizontal="right" vertical="center" wrapText="1"/>
    </xf>
    <xf numFmtId="3" fontId="9" fillId="0" borderId="14" xfId="0" applyNumberFormat="1" applyFont="1" applyBorder="1" applyAlignment="1">
      <alignment horizontal="right" vertical="center" wrapText="1"/>
    </xf>
    <xf numFmtId="3" fontId="0" fillId="0" borderId="0" xfId="0" applyNumberFormat="1" applyAlignment="1">
      <alignment horizontal="right"/>
    </xf>
    <xf numFmtId="0" fontId="9" fillId="0" borderId="11" xfId="0" applyFont="1" applyBorder="1" applyAlignment="1">
      <alignment horizontal="right" vertical="center" wrapText="1"/>
    </xf>
    <xf numFmtId="0" fontId="9" fillId="0" borderId="8" xfId="0" applyFont="1" applyBorder="1" applyAlignment="1">
      <alignment horizontal="right" vertical="center" wrapText="1"/>
    </xf>
    <xf numFmtId="3" fontId="9" fillId="0" borderId="11" xfId="0" applyNumberFormat="1" applyFont="1" applyBorder="1" applyAlignment="1">
      <alignment horizontal="right" vertical="center"/>
    </xf>
    <xf numFmtId="3" fontId="9" fillId="0" borderId="8" xfId="0" applyNumberFormat="1" applyFont="1" applyBorder="1" applyAlignment="1">
      <alignment horizontal="right" vertical="center" wrapText="1"/>
    </xf>
    <xf numFmtId="3" fontId="36" fillId="0" borderId="0" xfId="0" applyNumberFormat="1" applyFont="1" applyAlignment="1">
      <alignment horizontal="right" vertical="center"/>
    </xf>
    <xf numFmtId="3" fontId="37" fillId="0" borderId="0" xfId="0" applyNumberFormat="1" applyFont="1" applyAlignment="1">
      <alignment horizontal="right" vertical="center"/>
    </xf>
    <xf numFmtId="0" fontId="9" fillId="0" borderId="11" xfId="0" applyFont="1" applyBorder="1" applyAlignment="1">
      <alignment horizontal="center" vertical="center" wrapText="1"/>
    </xf>
    <xf numFmtId="0" fontId="4" fillId="0" borderId="12" xfId="0" applyFont="1" applyBorder="1" applyAlignment="1" applyProtection="1">
      <alignment vertical="center"/>
      <protection locked="0"/>
    </xf>
    <xf numFmtId="166" fontId="4" fillId="0" borderId="12" xfId="0" applyNumberFormat="1" applyFont="1" applyBorder="1" applyAlignment="1" applyProtection="1">
      <alignment vertical="center"/>
      <protection locked="0"/>
    </xf>
    <xf numFmtId="0" fontId="4" fillId="0" borderId="3" xfId="0" applyFont="1" applyBorder="1" applyAlignment="1">
      <alignment horizontal="centerContinuous" vertical="center"/>
    </xf>
    <xf numFmtId="0" fontId="4" fillId="0" borderId="3" xfId="0" applyFont="1" applyBorder="1" applyAlignment="1">
      <alignment horizontal="center" vertical="center"/>
    </xf>
    <xf numFmtId="0" fontId="4" fillId="0" borderId="3" xfId="0" applyFont="1" applyBorder="1" applyAlignment="1">
      <alignment vertical="center"/>
    </xf>
    <xf numFmtId="0" fontId="131" fillId="0" borderId="0" xfId="0" applyFont="1" applyAlignment="1">
      <alignment horizontal="right" vertical="center"/>
    </xf>
    <xf numFmtId="0" fontId="108" fillId="0" borderId="0" xfId="0" applyFont="1" applyAlignment="1">
      <alignment horizontal="centerContinuous" vertical="center"/>
    </xf>
    <xf numFmtId="3" fontId="9" fillId="17" borderId="0" xfId="0" applyNumberFormat="1" applyFont="1" applyFill="1" applyAlignment="1">
      <alignment horizontal="center" vertical="center"/>
    </xf>
    <xf numFmtId="0" fontId="97" fillId="17" borderId="0" xfId="0" applyFont="1" applyFill="1" applyAlignment="1">
      <alignment horizontal="center" vertical="center"/>
    </xf>
    <xf numFmtId="0" fontId="97" fillId="17" borderId="22" xfId="0" applyFont="1" applyFill="1" applyBorder="1" applyAlignment="1">
      <alignment horizontal="center" vertical="center"/>
    </xf>
    <xf numFmtId="1" fontId="7" fillId="0" borderId="22" xfId="0" applyNumberFormat="1" applyFont="1" applyBorder="1" applyAlignment="1">
      <alignment horizontal="center" vertical="justify"/>
    </xf>
    <xf numFmtId="0" fontId="4" fillId="0" borderId="25" xfId="0" applyFont="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7" fillId="0" borderId="22" xfId="0" applyFont="1" applyBorder="1" applyAlignment="1">
      <alignment horizontal="center" vertical="justify"/>
    </xf>
    <xf numFmtId="0" fontId="97" fillId="17" borderId="30" xfId="0" applyFont="1" applyFill="1" applyBorder="1"/>
    <xf numFmtId="0" fontId="97" fillId="17" borderId="13" xfId="0" applyFont="1" applyFill="1" applyBorder="1"/>
    <xf numFmtId="0" fontId="8" fillId="17" borderId="26" xfId="0" applyFont="1" applyFill="1" applyBorder="1" applyAlignment="1">
      <alignment horizontal="center" vertical="center"/>
    </xf>
    <xf numFmtId="0" fontId="9" fillId="17" borderId="30" xfId="0" applyFont="1" applyFill="1" applyBorder="1" applyAlignment="1">
      <alignment vertical="center"/>
    </xf>
    <xf numFmtId="0" fontId="4" fillId="17" borderId="13" xfId="0" applyFont="1" applyFill="1" applyBorder="1" applyAlignment="1">
      <alignment vertical="center"/>
    </xf>
    <xf numFmtId="0" fontId="9" fillId="17" borderId="13" xfId="0" applyFont="1" applyFill="1" applyBorder="1" applyAlignment="1">
      <alignment vertical="center"/>
    </xf>
    <xf numFmtId="0" fontId="7" fillId="17" borderId="26" xfId="0" applyFont="1" applyFill="1" applyBorder="1" applyAlignment="1">
      <alignment vertical="center"/>
    </xf>
    <xf numFmtId="0" fontId="9" fillId="17" borderId="3" xfId="0" applyFont="1" applyFill="1" applyBorder="1" applyAlignment="1">
      <alignment vertical="center"/>
    </xf>
    <xf numFmtId="0" fontId="143" fillId="0" borderId="25" xfId="0" applyFont="1" applyBorder="1" applyAlignment="1">
      <alignment horizontal="center" vertical="center"/>
    </xf>
    <xf numFmtId="0" fontId="144" fillId="0" borderId="2" xfId="0" applyFont="1" applyBorder="1" applyAlignment="1">
      <alignment horizontal="center" vertical="center"/>
    </xf>
    <xf numFmtId="172" fontId="7" fillId="0" borderId="22" xfId="0" applyNumberFormat="1" applyFont="1" applyBorder="1" applyAlignment="1">
      <alignment vertical="center"/>
    </xf>
    <xf numFmtId="3" fontId="9" fillId="0" borderId="47" xfId="0" applyNumberFormat="1" applyFont="1" applyBorder="1" applyAlignment="1">
      <alignment horizontal="left" vertical="center"/>
    </xf>
    <xf numFmtId="0" fontId="143" fillId="0" borderId="47" xfId="0" applyFont="1" applyBorder="1" applyAlignment="1">
      <alignment horizontal="center" vertical="center"/>
    </xf>
    <xf numFmtId="0" fontId="97" fillId="0" borderId="47" xfId="0" applyFont="1" applyBorder="1" applyAlignment="1">
      <alignment horizontal="center" vertical="center"/>
    </xf>
    <xf numFmtId="0" fontId="4" fillId="0" borderId="48" xfId="0" applyFont="1" applyBorder="1" applyAlignment="1">
      <alignment horizontal="center" vertical="center"/>
    </xf>
    <xf numFmtId="0" fontId="7" fillId="0" borderId="48" xfId="0" applyFont="1" applyBorder="1" applyAlignment="1">
      <alignment vertical="center"/>
    </xf>
    <xf numFmtId="1" fontId="7" fillId="0" borderId="48" xfId="0" applyNumberFormat="1" applyFont="1" applyBorder="1" applyAlignment="1">
      <alignment horizontal="center" vertical="justify"/>
    </xf>
    <xf numFmtId="3" fontId="4" fillId="0" borderId="48" xfId="0" applyNumberFormat="1" applyFont="1" applyBorder="1" applyAlignment="1">
      <alignment horizontal="center" vertical="center"/>
    </xf>
    <xf numFmtId="0" fontId="4" fillId="0" borderId="46" xfId="0" applyFont="1" applyBorder="1" applyAlignment="1">
      <alignment horizontal="center" vertical="center"/>
    </xf>
    <xf numFmtId="0" fontId="7" fillId="0" borderId="46" xfId="0" applyFont="1" applyBorder="1" applyAlignment="1">
      <alignment vertical="center"/>
    </xf>
    <xf numFmtId="1" fontId="7" fillId="0" borderId="46" xfId="0" applyNumberFormat="1" applyFont="1" applyBorder="1" applyAlignment="1">
      <alignment horizontal="center" vertical="justify"/>
    </xf>
    <xf numFmtId="0" fontId="4" fillId="0" borderId="7" xfId="0" applyFont="1" applyBorder="1" applyAlignment="1">
      <alignment horizontal="left" vertical="center"/>
    </xf>
    <xf numFmtId="0" fontId="7" fillId="0" borderId="7" xfId="0" applyFont="1" applyBorder="1" applyAlignment="1">
      <alignment vertical="center"/>
    </xf>
    <xf numFmtId="1" fontId="7" fillId="0" borderId="7" xfId="0" applyNumberFormat="1" applyFont="1" applyBorder="1" applyAlignment="1">
      <alignment horizontal="center" vertical="justify"/>
    </xf>
    <xf numFmtId="0" fontId="7" fillId="0" borderId="7" xfId="0" applyFont="1" applyBorder="1" applyAlignment="1">
      <alignment horizontal="left" vertical="center"/>
    </xf>
    <xf numFmtId="0" fontId="7" fillId="0" borderId="7" xfId="0" applyFont="1" applyBorder="1" applyAlignment="1">
      <alignment horizontal="center" vertical="center"/>
    </xf>
    <xf numFmtId="0" fontId="7" fillId="0" borderId="10" xfId="0" applyFont="1" applyBorder="1" applyAlignment="1">
      <alignment horizontal="left" vertical="center"/>
    </xf>
    <xf numFmtId="0" fontId="4" fillId="0" borderId="7" xfId="0" applyFont="1" applyBorder="1" applyAlignment="1">
      <alignment horizontal="center" vertical="center"/>
    </xf>
    <xf numFmtId="0" fontId="4" fillId="18" borderId="0" xfId="0" applyFont="1" applyFill="1" applyAlignment="1" applyProtection="1">
      <alignment vertical="center"/>
      <protection locked="0"/>
    </xf>
    <xf numFmtId="0" fontId="25" fillId="0" borderId="0" xfId="0" applyFont="1" applyAlignment="1" applyProtection="1">
      <alignment horizontal="centerContinuous" vertical="center"/>
      <protection locked="0"/>
    </xf>
    <xf numFmtId="0" fontId="26" fillId="0" borderId="0" xfId="0" applyFont="1" applyAlignment="1" applyProtection="1">
      <alignment horizontal="centerContinuous" vertical="center"/>
      <protection locked="0"/>
    </xf>
    <xf numFmtId="0" fontId="52" fillId="19" borderId="0" xfId="0" applyFont="1" applyFill="1" applyAlignment="1" applyProtection="1">
      <alignment horizontal="centerContinuous" vertical="center" wrapText="1"/>
      <protection locked="0"/>
    </xf>
    <xf numFmtId="0" fontId="35" fillId="19" borderId="0" xfId="0" applyFont="1" applyFill="1" applyAlignment="1" applyProtection="1">
      <alignment horizontal="centerContinuous" vertical="center"/>
      <protection locked="0"/>
    </xf>
    <xf numFmtId="0" fontId="107" fillId="19" borderId="0" xfId="0" applyFont="1" applyFill="1" applyAlignment="1" applyProtection="1">
      <alignment horizontal="centerContinuous" vertical="center" wrapText="1"/>
      <protection locked="0"/>
    </xf>
    <xf numFmtId="0" fontId="9" fillId="19" borderId="0" xfId="0" applyFont="1" applyFill="1" applyAlignment="1" applyProtection="1">
      <alignment horizontal="centerContinuous" vertical="center"/>
      <protection locked="0"/>
    </xf>
    <xf numFmtId="0" fontId="44" fillId="0" borderId="0" xfId="0" applyFont="1" applyAlignment="1" applyProtection="1">
      <alignment vertical="center"/>
      <protection locked="0"/>
    </xf>
    <xf numFmtId="0" fontId="145" fillId="0" borderId="0" xfId="0" applyFont="1" applyAlignment="1" applyProtection="1">
      <alignment vertical="center"/>
      <protection locked="0"/>
    </xf>
    <xf numFmtId="0" fontId="78"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113" fillId="0" borderId="0" xfId="0" applyFont="1" applyAlignment="1" applyProtection="1">
      <alignment horizontal="left" vertical="center"/>
      <protection locked="0"/>
    </xf>
    <xf numFmtId="172" fontId="4" fillId="0" borderId="0" xfId="0" applyNumberFormat="1" applyFont="1" applyAlignment="1" applyProtection="1">
      <alignment vertical="center"/>
      <protection locked="0"/>
    </xf>
    <xf numFmtId="0" fontId="0" fillId="0" borderId="0" xfId="0" applyAlignment="1" applyProtection="1">
      <alignment vertical="center"/>
      <protection locked="0"/>
    </xf>
    <xf numFmtId="0" fontId="38" fillId="0" borderId="0" xfId="0" applyFont="1" applyAlignment="1" applyProtection="1">
      <alignment horizontal="centerContinuous" vertical="center" wrapText="1"/>
      <protection locked="0"/>
    </xf>
    <xf numFmtId="0" fontId="34" fillId="0" borderId="0" xfId="0" applyFont="1" applyAlignment="1" applyProtection="1">
      <alignment horizontal="centerContinuous" vertical="center"/>
      <protection locked="0"/>
    </xf>
    <xf numFmtId="0" fontId="96" fillId="0" borderId="0" xfId="0" applyFont="1" applyAlignment="1" applyProtection="1">
      <alignment horizontal="centerContinuous" vertical="center" wrapText="1"/>
      <protection locked="0"/>
    </xf>
    <xf numFmtId="0" fontId="4" fillId="0" borderId="3" xfId="0" applyFont="1" applyBorder="1" applyAlignment="1" applyProtection="1">
      <alignment vertical="center"/>
      <protection locked="0"/>
    </xf>
    <xf numFmtId="0" fontId="107" fillId="0" borderId="0" xfId="0" applyFont="1" applyAlignment="1" applyProtection="1">
      <alignment horizontal="center" vertical="center" wrapText="1"/>
      <protection locked="0"/>
    </xf>
    <xf numFmtId="0" fontId="0" fillId="18" borderId="0" xfId="0" applyFill="1" applyAlignment="1" applyProtection="1">
      <alignment vertical="center"/>
      <protection locked="0"/>
    </xf>
    <xf numFmtId="0" fontId="14" fillId="0" borderId="0" xfId="0" applyFont="1" applyAlignment="1" applyProtection="1">
      <alignment horizontal="left" vertical="center"/>
      <protection locked="0"/>
    </xf>
    <xf numFmtId="3" fontId="9" fillId="0" borderId="0" xfId="0" applyNumberFormat="1" applyFont="1" applyAlignment="1" applyProtection="1">
      <alignment vertical="center"/>
      <protection locked="0"/>
    </xf>
    <xf numFmtId="0" fontId="4" fillId="17" borderId="0" xfId="0" applyFont="1" applyFill="1" applyAlignment="1" applyProtection="1">
      <alignment horizontal="center" vertical="center"/>
      <protection locked="0"/>
    </xf>
    <xf numFmtId="173" fontId="4" fillId="17" borderId="0" xfId="0" applyNumberFormat="1" applyFont="1" applyFill="1" applyAlignment="1" applyProtection="1">
      <alignment horizontal="center" vertical="center"/>
      <protection locked="0"/>
    </xf>
    <xf numFmtId="9" fontId="4" fillId="17" borderId="0" xfId="0" applyNumberFormat="1" applyFont="1" applyFill="1" applyAlignment="1" applyProtection="1">
      <alignment horizontal="center" vertical="center"/>
      <protection locked="0"/>
    </xf>
    <xf numFmtId="0" fontId="0" fillId="0" borderId="0" xfId="0" applyAlignment="1" applyProtection="1">
      <alignment vertical="center" wrapText="1"/>
      <protection locked="0"/>
    </xf>
    <xf numFmtId="0" fontId="78" fillId="0" borderId="0" xfId="0" applyFont="1" applyAlignment="1" applyProtection="1">
      <alignment vertical="center"/>
      <protection locked="0"/>
    </xf>
    <xf numFmtId="173" fontId="4" fillId="0" borderId="0" xfId="0" applyNumberFormat="1" applyFont="1" applyAlignment="1" applyProtection="1">
      <alignment horizontal="center" vertical="center"/>
      <protection locked="0"/>
    </xf>
    <xf numFmtId="174" fontId="4" fillId="0" borderId="0" xfId="0" applyNumberFormat="1" applyFont="1" applyAlignment="1" applyProtection="1">
      <alignment vertical="center"/>
      <protection locked="0"/>
    </xf>
    <xf numFmtId="0" fontId="31"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190" fontId="113" fillId="20" borderId="3" xfId="0" applyNumberFormat="1" applyFont="1" applyFill="1" applyBorder="1" applyAlignment="1" applyProtection="1">
      <alignment vertical="center"/>
      <protection locked="0"/>
    </xf>
    <xf numFmtId="0" fontId="116" fillId="0" borderId="3" xfId="0" applyFont="1" applyBorder="1"/>
    <xf numFmtId="0" fontId="116" fillId="0" borderId="0" xfId="0" applyFont="1" applyAlignment="1" applyProtection="1">
      <alignment vertical="center"/>
      <protection locked="0"/>
    </xf>
    <xf numFmtId="0" fontId="113" fillId="0" borderId="3" xfId="0" applyFont="1" applyBorder="1" applyAlignment="1">
      <alignment horizontal="center" vertical="center"/>
    </xf>
    <xf numFmtId="0" fontId="106" fillId="0" borderId="0" xfId="0" applyFont="1" applyAlignment="1" applyProtection="1">
      <alignment horizontal="center" vertical="center"/>
      <protection hidden="1"/>
    </xf>
    <xf numFmtId="0" fontId="116" fillId="0" borderId="0" xfId="0" applyFont="1" applyProtection="1">
      <protection locked="0"/>
    </xf>
    <xf numFmtId="0" fontId="116" fillId="0" borderId="0" xfId="0" applyFont="1" applyAlignment="1" applyProtection="1">
      <alignment horizontal="center" vertical="center"/>
      <protection locked="0"/>
    </xf>
    <xf numFmtId="178" fontId="4" fillId="0" borderId="3" xfId="0" applyNumberFormat="1" applyFont="1" applyBorder="1" applyAlignment="1">
      <alignment vertical="center"/>
    </xf>
    <xf numFmtId="0" fontId="4" fillId="0" borderId="8" xfId="0" applyFont="1" applyBorder="1" applyAlignment="1">
      <alignment horizontal="left" vertical="center" wrapText="1"/>
    </xf>
    <xf numFmtId="0" fontId="4" fillId="0" borderId="3" xfId="0" applyFont="1" applyBorder="1" applyAlignment="1" applyProtection="1">
      <alignment vertical="center"/>
      <protection hidden="1"/>
    </xf>
    <xf numFmtId="0" fontId="9" fillId="0" borderId="0" xfId="0" applyFont="1" applyAlignment="1" applyProtection="1">
      <alignment vertical="center"/>
      <protection hidden="1"/>
    </xf>
    <xf numFmtId="165" fontId="4" fillId="0" borderId="0" xfId="0" applyNumberFormat="1" applyFont="1" applyAlignment="1" applyProtection="1">
      <alignment vertical="center"/>
      <protection locked="0"/>
    </xf>
    <xf numFmtId="0" fontId="4" fillId="0" borderId="4" xfId="0" applyFont="1" applyBorder="1" applyAlignment="1">
      <alignment horizontal="left" vertical="center"/>
    </xf>
    <xf numFmtId="0" fontId="4" fillId="2" borderId="4" xfId="0" applyFont="1" applyFill="1" applyBorder="1" applyAlignment="1">
      <alignment horizontal="left" vertical="center" wrapText="1"/>
    </xf>
    <xf numFmtId="184" fontId="4" fillId="0" borderId="4" xfId="0" applyNumberFormat="1" applyFont="1" applyBorder="1" applyAlignment="1">
      <alignment vertical="center"/>
    </xf>
    <xf numFmtId="3" fontId="4" fillId="0" borderId="4" xfId="0" applyNumberFormat="1" applyFont="1" applyBorder="1" applyAlignment="1">
      <alignment horizontal="right" vertical="center"/>
    </xf>
    <xf numFmtId="0" fontId="4" fillId="0" borderId="8" xfId="0" applyFont="1" applyBorder="1" applyAlignment="1">
      <alignment horizontal="left" vertical="center"/>
    </xf>
    <xf numFmtId="0" fontId="4" fillId="2" borderId="8" xfId="0" applyFont="1" applyFill="1" applyBorder="1" applyAlignment="1">
      <alignment horizontal="left" vertical="center" wrapText="1"/>
    </xf>
    <xf numFmtId="184" fontId="4" fillId="0" borderId="8" xfId="0" applyNumberFormat="1" applyFont="1" applyBorder="1" applyAlignment="1">
      <alignment vertical="center"/>
    </xf>
    <xf numFmtId="0" fontId="4" fillId="0" borderId="3" xfId="0" applyFont="1" applyBorder="1" applyAlignment="1">
      <alignment horizontal="center" vertical="center" wrapText="1"/>
    </xf>
    <xf numFmtId="4" fontId="4" fillId="0" borderId="3" xfId="0" applyNumberFormat="1" applyFont="1" applyBorder="1" applyAlignment="1">
      <alignment horizontal="center" vertical="center"/>
    </xf>
    <xf numFmtId="3" fontId="4" fillId="0" borderId="3" xfId="0" applyNumberFormat="1" applyFont="1" applyBorder="1" applyAlignment="1">
      <alignment horizontal="center" vertical="center"/>
    </xf>
    <xf numFmtId="179" fontId="4" fillId="0" borderId="0" xfId="0" applyNumberFormat="1" applyFont="1" applyAlignment="1">
      <alignment horizontal="center" vertical="center"/>
    </xf>
    <xf numFmtId="49" fontId="4" fillId="0" borderId="3" xfId="0" applyNumberFormat="1" applyFont="1" applyBorder="1" applyAlignment="1" applyProtection="1">
      <alignment horizontal="center" vertical="center" wrapText="1"/>
      <protection locked="0"/>
    </xf>
    <xf numFmtId="4" fontId="4" fillId="0" borderId="3" xfId="0" applyNumberFormat="1" applyFont="1" applyBorder="1" applyAlignment="1" applyProtection="1">
      <alignment horizontal="center" vertical="center" wrapText="1"/>
      <protection locked="0"/>
    </xf>
    <xf numFmtId="3" fontId="4" fillId="0" borderId="3" xfId="0" applyNumberFormat="1" applyFont="1" applyBorder="1" applyAlignment="1" applyProtection="1">
      <alignment horizontal="center" vertical="center" wrapText="1"/>
      <protection locked="0"/>
    </xf>
    <xf numFmtId="14" fontId="14" fillId="0" borderId="0" xfId="0" applyNumberFormat="1" applyFont="1" applyAlignment="1">
      <alignment horizontal="left" vertical="center"/>
    </xf>
    <xf numFmtId="0" fontId="14" fillId="0" borderId="0" xfId="0" applyFont="1" applyAlignment="1">
      <alignment horizontal="left" vertical="center"/>
    </xf>
    <xf numFmtId="49" fontId="4" fillId="0" borderId="7" xfId="0" applyNumberFormat="1" applyFont="1" applyBorder="1" applyAlignment="1" applyProtection="1">
      <alignment horizontal="justify" vertical="center" wrapText="1"/>
      <protection locked="0"/>
    </xf>
    <xf numFmtId="49" fontId="37" fillId="0" borderId="7" xfId="0" applyNumberFormat="1" applyFont="1" applyBorder="1" applyAlignment="1" applyProtection="1">
      <alignment horizontal="justify" vertical="center" wrapText="1"/>
      <protection locked="0"/>
    </xf>
    <xf numFmtId="49" fontId="4" fillId="0" borderId="7" xfId="0" quotePrefix="1" applyNumberFormat="1" applyFont="1" applyBorder="1" applyAlignment="1" applyProtection="1">
      <alignment horizontal="justify" vertical="center" wrapText="1"/>
      <protection locked="0"/>
    </xf>
    <xf numFmtId="49" fontId="105" fillId="5" borderId="3" xfId="0" applyNumberFormat="1" applyFont="1" applyFill="1" applyBorder="1" applyAlignment="1">
      <alignment horizontal="center" vertical="center"/>
    </xf>
    <xf numFmtId="0" fontId="105" fillId="3" borderId="3" xfId="0" applyFont="1" applyFill="1" applyBorder="1" applyAlignment="1">
      <alignment horizontal="center" vertical="center" wrapText="1"/>
    </xf>
    <xf numFmtId="0" fontId="106" fillId="3" borderId="9" xfId="0" applyFont="1" applyFill="1" applyBorder="1" applyAlignment="1">
      <alignment horizontal="center" vertical="center" wrapText="1"/>
    </xf>
    <xf numFmtId="0" fontId="28" fillId="0" borderId="0" xfId="0" applyFont="1" applyAlignment="1">
      <alignment horizontal="left" vertical="center"/>
    </xf>
    <xf numFmtId="0" fontId="9" fillId="4" borderId="3" xfId="0" applyFont="1" applyFill="1" applyBorder="1" applyAlignment="1">
      <alignment horizontal="center" vertical="center"/>
    </xf>
    <xf numFmtId="0" fontId="97" fillId="0" borderId="0" xfId="0" applyFont="1" applyAlignment="1" applyProtection="1">
      <alignment horizontal="centerContinuous" vertical="center"/>
      <protection locked="0"/>
    </xf>
    <xf numFmtId="0" fontId="36" fillId="4" borderId="3" xfId="0" applyFont="1" applyFill="1" applyBorder="1" applyAlignment="1">
      <alignment horizontal="center" vertical="center"/>
    </xf>
    <xf numFmtId="49" fontId="36" fillId="4" borderId="3" xfId="0" applyNumberFormat="1" applyFont="1" applyFill="1" applyBorder="1" applyAlignment="1">
      <alignment horizontal="center" vertical="center" wrapText="1"/>
    </xf>
    <xf numFmtId="0" fontId="36" fillId="4" borderId="3" xfId="0" applyFont="1" applyFill="1" applyBorder="1" applyAlignment="1">
      <alignment horizontal="center" vertical="center" wrapText="1"/>
    </xf>
    <xf numFmtId="4" fontId="36" fillId="4" borderId="3" xfId="0" applyNumberFormat="1" applyFont="1" applyFill="1" applyBorder="1" applyAlignment="1">
      <alignment horizontal="center" vertical="center" wrapText="1"/>
    </xf>
    <xf numFmtId="3" fontId="36" fillId="4" borderId="3" xfId="0" applyNumberFormat="1" applyFont="1" applyFill="1" applyBorder="1" applyAlignment="1">
      <alignment horizontal="center" vertical="center" wrapText="1"/>
    </xf>
    <xf numFmtId="10" fontId="36" fillId="4" borderId="3" xfId="0" applyNumberFormat="1" applyFont="1" applyFill="1" applyBorder="1" applyAlignment="1">
      <alignment horizontal="center" vertical="center" wrapText="1"/>
    </xf>
    <xf numFmtId="0" fontId="28" fillId="0" borderId="0" xfId="0" applyFont="1" applyAlignment="1">
      <alignment horizontal="centerContinuous" vertical="center" wrapText="1"/>
    </xf>
    <xf numFmtId="0" fontId="110" fillId="0" borderId="0" xfId="0" applyFont="1" applyAlignment="1">
      <alignment horizontal="centerContinuous"/>
    </xf>
    <xf numFmtId="2" fontId="105" fillId="5" borderId="3" xfId="0" applyNumberFormat="1" applyFont="1" applyFill="1" applyBorder="1" applyAlignment="1">
      <alignment horizontal="center" vertical="center"/>
    </xf>
    <xf numFmtId="3" fontId="105" fillId="3" borderId="3" xfId="0" applyNumberFormat="1" applyFont="1" applyFill="1" applyBorder="1" applyAlignment="1">
      <alignment horizontal="center" vertical="center"/>
    </xf>
    <xf numFmtId="0" fontId="13" fillId="6" borderId="3" xfId="0" applyFont="1" applyFill="1" applyBorder="1" applyAlignment="1">
      <alignment horizontal="center" vertical="center" wrapText="1"/>
    </xf>
    <xf numFmtId="49" fontId="9" fillId="6" borderId="3" xfId="0" applyNumberFormat="1" applyFont="1" applyFill="1" applyBorder="1" applyAlignment="1">
      <alignment horizontal="center" vertical="center" wrapText="1"/>
    </xf>
    <xf numFmtId="0" fontId="9" fillId="6" borderId="3" xfId="0" applyFont="1" applyFill="1" applyBorder="1" applyAlignment="1">
      <alignment horizontal="center" vertical="center" wrapText="1"/>
    </xf>
    <xf numFmtId="9" fontId="9" fillId="6" borderId="3" xfId="0" applyNumberFormat="1" applyFont="1" applyFill="1" applyBorder="1" applyAlignment="1">
      <alignment horizontal="center" vertical="center" wrapText="1"/>
    </xf>
    <xf numFmtId="4" fontId="9" fillId="6" borderId="3" xfId="0" applyNumberFormat="1" applyFont="1" applyFill="1" applyBorder="1" applyAlignment="1">
      <alignment horizontal="center" vertical="center" wrapText="1"/>
    </xf>
    <xf numFmtId="179" fontId="9" fillId="6" borderId="3" xfId="0" applyNumberFormat="1" applyFont="1" applyFill="1" applyBorder="1" applyAlignment="1">
      <alignment horizontal="center" vertical="center" wrapText="1"/>
    </xf>
    <xf numFmtId="3" fontId="9" fillId="6" borderId="3" xfId="0" applyNumberFormat="1" applyFont="1" applyFill="1" applyBorder="1" applyAlignment="1">
      <alignment horizontal="center" vertical="center" wrapText="1"/>
    </xf>
    <xf numFmtId="3" fontId="9" fillId="6" borderId="12" xfId="0" applyNumberFormat="1" applyFont="1" applyFill="1" applyBorder="1" applyAlignment="1" applyProtection="1">
      <alignment horizontal="centerContinuous" vertical="center"/>
      <protection locked="0"/>
    </xf>
    <xf numFmtId="0" fontId="9" fillId="6" borderId="12" xfId="0" applyFont="1" applyFill="1" applyBorder="1" applyAlignment="1" applyProtection="1">
      <alignment horizontal="centerContinuous" vertical="center"/>
      <protection locked="0"/>
    </xf>
    <xf numFmtId="0" fontId="4" fillId="6" borderId="3" xfId="0" applyFont="1" applyFill="1" applyBorder="1" applyAlignment="1" applyProtection="1">
      <alignment horizontal="center" vertical="center"/>
      <protection locked="0"/>
    </xf>
    <xf numFmtId="0" fontId="38" fillId="5" borderId="3" xfId="0" applyFont="1" applyFill="1" applyBorder="1" applyAlignment="1">
      <alignment horizontal="center" vertical="center" wrapText="1"/>
    </xf>
    <xf numFmtId="0" fontId="9" fillId="17" borderId="3" xfId="0" applyFont="1" applyFill="1" applyBorder="1" applyAlignment="1">
      <alignment horizontal="center" vertical="center" wrapText="1"/>
    </xf>
    <xf numFmtId="0" fontId="9" fillId="6" borderId="9" xfId="0" applyFont="1" applyFill="1" applyBorder="1" applyAlignment="1">
      <alignment horizontal="centerContinuous" vertical="center" wrapText="1"/>
    </xf>
    <xf numFmtId="0" fontId="36" fillId="6" borderId="3" xfId="0" applyFont="1" applyFill="1" applyBorder="1" applyAlignment="1">
      <alignment horizontal="center" vertical="center" wrapText="1"/>
    </xf>
    <xf numFmtId="3" fontId="36" fillId="6" borderId="3" xfId="0" applyNumberFormat="1" applyFont="1" applyFill="1" applyBorder="1" applyAlignment="1">
      <alignment horizontal="center" vertical="center" wrapText="1"/>
    </xf>
    <xf numFmtId="9" fontId="36" fillId="0" borderId="3" xfId="0" applyNumberFormat="1" applyFont="1" applyBorder="1" applyAlignment="1">
      <alignment horizontal="center" vertical="center" wrapText="1"/>
    </xf>
    <xf numFmtId="0" fontId="149" fillId="5" borderId="3" xfId="0" applyFont="1" applyFill="1" applyBorder="1" applyAlignment="1">
      <alignment horizontal="center" vertical="center" wrapText="1"/>
    </xf>
    <xf numFmtId="0" fontId="9" fillId="4" borderId="3" xfId="0" applyFont="1" applyFill="1" applyBorder="1" applyAlignment="1">
      <alignment horizontal="center" vertical="center" wrapText="1"/>
    </xf>
    <xf numFmtId="4" fontId="9" fillId="4" borderId="3" xfId="0" applyNumberFormat="1" applyFont="1" applyFill="1" applyBorder="1" applyAlignment="1">
      <alignment horizontal="center" vertical="center" wrapText="1"/>
    </xf>
    <xf numFmtId="3" fontId="9" fillId="4" borderId="3" xfId="0" applyNumberFormat="1" applyFont="1" applyFill="1" applyBorder="1" applyAlignment="1">
      <alignment horizontal="center" vertical="center" wrapText="1"/>
    </xf>
    <xf numFmtId="0" fontId="27" fillId="4" borderId="3" xfId="0" applyFont="1" applyFill="1" applyBorder="1" applyAlignment="1">
      <alignment horizontal="centerContinuous" vertical="center"/>
    </xf>
    <xf numFmtId="0" fontId="27" fillId="4" borderId="3" xfId="0" applyFont="1" applyFill="1" applyBorder="1" applyAlignment="1">
      <alignment horizontal="center" vertical="center" wrapText="1"/>
    </xf>
    <xf numFmtId="0" fontId="111" fillId="4" borderId="3" xfId="0" applyFont="1" applyFill="1" applyBorder="1" applyAlignment="1" applyProtection="1">
      <alignment horizontal="center" vertical="center" wrapText="1"/>
      <protection locked="0"/>
    </xf>
    <xf numFmtId="9" fontId="111" fillId="4" borderId="3" xfId="0" applyNumberFormat="1" applyFont="1" applyFill="1" applyBorder="1" applyAlignment="1" applyProtection="1">
      <alignment horizontal="center" vertical="center" wrapText="1"/>
      <protection locked="0"/>
    </xf>
    <xf numFmtId="3" fontId="44" fillId="6" borderId="3" xfId="0" applyNumberFormat="1" applyFont="1" applyFill="1" applyBorder="1" applyAlignment="1" applyProtection="1">
      <alignment horizontal="center" vertical="center"/>
      <protection locked="0"/>
    </xf>
    <xf numFmtId="3" fontId="44" fillId="15" borderId="3" xfId="0" applyNumberFormat="1" applyFont="1" applyFill="1" applyBorder="1" applyAlignment="1" applyProtection="1">
      <alignment horizontal="center" vertical="center"/>
      <protection locked="0"/>
    </xf>
    <xf numFmtId="2" fontId="38" fillId="5" borderId="3" xfId="0" applyNumberFormat="1" applyFont="1" applyFill="1" applyBorder="1" applyAlignment="1">
      <alignment horizontal="center" vertical="center"/>
    </xf>
    <xf numFmtId="0" fontId="38" fillId="3" borderId="3" xfId="0" applyFont="1" applyFill="1" applyBorder="1" applyAlignment="1">
      <alignment horizontal="center" vertical="center" wrapText="1"/>
    </xf>
    <xf numFmtId="49" fontId="38" fillId="5" borderId="3" xfId="0" applyNumberFormat="1" applyFont="1" applyFill="1" applyBorder="1" applyAlignment="1">
      <alignment horizontal="center" vertical="center"/>
    </xf>
    <xf numFmtId="0" fontId="110" fillId="0" borderId="0" xfId="0" applyFont="1" applyAlignment="1" applyProtection="1">
      <alignment horizontal="centerContinuous" vertical="center"/>
      <protection locked="0"/>
    </xf>
    <xf numFmtId="0" fontId="110" fillId="0" borderId="0" xfId="0" applyFont="1" applyAlignment="1">
      <alignment horizontal="left" vertical="center"/>
    </xf>
    <xf numFmtId="196" fontId="4" fillId="0" borderId="8" xfId="0" applyNumberFormat="1" applyFont="1" applyBorder="1" applyAlignment="1">
      <alignment horizontal="center" vertical="center"/>
    </xf>
    <xf numFmtId="198" fontId="4" fillId="0" borderId="8" xfId="0" applyNumberFormat="1" applyFont="1" applyBorder="1" applyAlignment="1">
      <alignment horizontal="center" vertical="center"/>
    </xf>
    <xf numFmtId="0" fontId="4" fillId="0" borderId="10" xfId="0" applyFont="1" applyBorder="1" applyAlignment="1">
      <alignment horizontal="center" vertical="center" wrapText="1"/>
    </xf>
    <xf numFmtId="0" fontId="4" fillId="0" borderId="10" xfId="0" quotePrefix="1" applyFont="1" applyBorder="1" applyAlignment="1">
      <alignment vertical="center" wrapText="1"/>
    </xf>
    <xf numFmtId="3" fontId="4" fillId="0" borderId="10" xfId="0" applyNumberFormat="1" applyFont="1" applyBorder="1" applyAlignment="1">
      <alignment horizontal="center" vertical="center" wrapText="1"/>
    </xf>
    <xf numFmtId="3" fontId="4" fillId="0" borderId="10" xfId="0" applyNumberFormat="1" applyFont="1" applyBorder="1" applyAlignment="1">
      <alignment vertical="center" wrapText="1"/>
    </xf>
    <xf numFmtId="0" fontId="4" fillId="0" borderId="14" xfId="0" applyFont="1" applyBorder="1" applyAlignment="1">
      <alignment horizontal="center" vertical="center" wrapText="1"/>
    </xf>
    <xf numFmtId="0" fontId="4" fillId="0" borderId="14" xfId="0" quotePrefix="1" applyFont="1" applyBorder="1" applyAlignment="1">
      <alignment vertical="center" wrapText="1"/>
    </xf>
    <xf numFmtId="3" fontId="4" fillId="0" borderId="14" xfId="0" applyNumberFormat="1" applyFont="1" applyBorder="1" applyAlignment="1">
      <alignment vertical="center" wrapText="1"/>
    </xf>
    <xf numFmtId="0" fontId="9" fillId="4" borderId="3" xfId="0" applyFont="1" applyFill="1" applyBorder="1" applyAlignment="1">
      <alignment horizontal="centerContinuous" vertical="center" wrapText="1"/>
    </xf>
    <xf numFmtId="197" fontId="4" fillId="0" borderId="8" xfId="0" applyNumberFormat="1" applyFont="1" applyBorder="1" applyAlignment="1">
      <alignment horizontal="right" vertical="center"/>
    </xf>
    <xf numFmtId="199" fontId="4" fillId="0" borderId="8" xfId="0" applyNumberFormat="1" applyFont="1" applyBorder="1" applyAlignment="1">
      <alignment horizontal="center" vertical="center"/>
    </xf>
    <xf numFmtId="200" fontId="4" fillId="0" borderId="8" xfId="0" applyNumberFormat="1" applyFont="1" applyBorder="1" applyAlignment="1">
      <alignment horizontal="right" vertical="center"/>
    </xf>
    <xf numFmtId="201" fontId="4" fillId="0" borderId="8" xfId="0" applyNumberFormat="1" applyFont="1" applyBorder="1" applyAlignment="1">
      <alignment horizontal="right" vertical="center"/>
    </xf>
    <xf numFmtId="202" fontId="4" fillId="0" borderId="8" xfId="0" applyNumberFormat="1" applyFont="1" applyBorder="1" applyAlignment="1">
      <alignment horizontal="center" vertical="center"/>
    </xf>
    <xf numFmtId="203" fontId="4" fillId="0" borderId="8" xfId="0" applyNumberFormat="1" applyFont="1" applyBorder="1" applyAlignment="1">
      <alignment horizontal="center" vertical="center"/>
    </xf>
    <xf numFmtId="174" fontId="4" fillId="0" borderId="8" xfId="0" applyNumberFormat="1" applyFont="1" applyBorder="1" applyAlignment="1">
      <alignment horizontal="right" vertical="center"/>
    </xf>
    <xf numFmtId="204" fontId="4" fillId="0" borderId="8" xfId="0" applyNumberFormat="1" applyFont="1" applyBorder="1" applyAlignment="1">
      <alignment horizontal="center" vertical="center"/>
    </xf>
    <xf numFmtId="205" fontId="4" fillId="0" borderId="8" xfId="0" applyNumberFormat="1" applyFont="1" applyBorder="1" applyAlignment="1">
      <alignment horizontal="center" vertical="center"/>
    </xf>
    <xf numFmtId="206" fontId="4" fillId="0" borderId="8" xfId="0" applyNumberFormat="1" applyFont="1" applyBorder="1" applyAlignment="1">
      <alignment horizontal="right" vertical="center"/>
    </xf>
    <xf numFmtId="207" fontId="4" fillId="0" borderId="8" xfId="0" applyNumberFormat="1" applyFont="1" applyBorder="1" applyAlignment="1">
      <alignment horizontal="center" vertical="center"/>
    </xf>
    <xf numFmtId="208" fontId="4" fillId="0" borderId="8" xfId="0" applyNumberFormat="1" applyFont="1" applyBorder="1" applyAlignment="1">
      <alignment horizontal="center" vertical="center"/>
    </xf>
    <xf numFmtId="209" fontId="4" fillId="0" borderId="8" xfId="0" applyNumberFormat="1" applyFont="1" applyBorder="1" applyAlignment="1">
      <alignment horizontal="right" vertical="center"/>
    </xf>
    <xf numFmtId="210" fontId="4" fillId="0" borderId="8" xfId="0" applyNumberFormat="1" applyFont="1" applyBorder="1" applyAlignment="1">
      <alignment horizontal="right" vertical="center"/>
    </xf>
    <xf numFmtId="0" fontId="139" fillId="0" borderId="0" xfId="0" applyFont="1" applyAlignment="1">
      <alignment horizontal="left" vertical="center"/>
    </xf>
    <xf numFmtId="9" fontId="7" fillId="0" borderId="0" xfId="0" applyNumberFormat="1" applyFont="1" applyAlignment="1">
      <alignment vertical="center"/>
    </xf>
    <xf numFmtId="0" fontId="9" fillId="0" borderId="7" xfId="0" applyFont="1" applyBorder="1" applyAlignment="1">
      <alignment vertical="center" wrapText="1"/>
    </xf>
    <xf numFmtId="0" fontId="9" fillId="0" borderId="8" xfId="0" applyFont="1" applyBorder="1" applyAlignment="1">
      <alignment vertical="center" wrapText="1"/>
    </xf>
    <xf numFmtId="0" fontId="9" fillId="0" borderId="14" xfId="0" applyFont="1" applyBorder="1" applyAlignment="1">
      <alignment vertical="center" wrapText="1"/>
    </xf>
    <xf numFmtId="0" fontId="9" fillId="0" borderId="9" xfId="0" applyFont="1" applyBorder="1" applyAlignment="1">
      <alignment vertical="center" wrapText="1"/>
    </xf>
    <xf numFmtId="0" fontId="9" fillId="0" borderId="27" xfId="0" applyFont="1" applyBorder="1" applyAlignment="1">
      <alignment vertical="center" wrapText="1"/>
    </xf>
    <xf numFmtId="0" fontId="9" fillId="4" borderId="28" xfId="0" applyFont="1" applyFill="1" applyBorder="1" applyAlignment="1">
      <alignment horizontal="center" vertical="center" wrapText="1"/>
    </xf>
    <xf numFmtId="49" fontId="38" fillId="0" borderId="7" xfId="0" applyNumberFormat="1" applyFont="1" applyBorder="1" applyAlignment="1">
      <alignment horizontal="center" vertical="center"/>
    </xf>
    <xf numFmtId="0" fontId="38" fillId="0" borderId="7" xfId="0" applyFont="1" applyBorder="1" applyAlignment="1">
      <alignment horizontal="center" vertical="center" wrapText="1"/>
    </xf>
    <xf numFmtId="0" fontId="34" fillId="0" borderId="7" xfId="0" applyFont="1" applyBorder="1" applyAlignment="1">
      <alignment horizontal="center" vertical="center" wrapText="1"/>
    </xf>
    <xf numFmtId="0" fontId="9" fillId="0" borderId="11" xfId="0" applyFont="1" applyBorder="1" applyAlignment="1">
      <alignment vertical="center" wrapText="1"/>
    </xf>
    <xf numFmtId="0" fontId="4" fillId="0" borderId="11" xfId="0" applyFont="1" applyBorder="1" applyAlignment="1">
      <alignment horizontal="center" vertical="center"/>
    </xf>
    <xf numFmtId="0" fontId="9" fillId="0" borderId="3" xfId="0" applyFont="1" applyBorder="1" applyAlignment="1">
      <alignment horizontal="right" vertical="center" wrapText="1"/>
    </xf>
    <xf numFmtId="3" fontId="9" fillId="0" borderId="3"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3" fontId="9" fillId="0" borderId="3" xfId="0" applyNumberFormat="1" applyFont="1" applyBorder="1" applyAlignment="1">
      <alignment horizontal="right" vertical="center"/>
    </xf>
    <xf numFmtId="3" fontId="9" fillId="0" borderId="3" xfId="0" applyNumberFormat="1" applyFont="1" applyBorder="1" applyAlignment="1">
      <alignment horizontal="center" vertical="center"/>
    </xf>
    <xf numFmtId="10" fontId="4" fillId="0" borderId="3" xfId="0" applyNumberFormat="1" applyFont="1" applyBorder="1" applyAlignment="1">
      <alignment horizontal="center" vertical="center"/>
    </xf>
    <xf numFmtId="211" fontId="4" fillId="0" borderId="0" xfId="0" applyNumberFormat="1" applyFont="1" applyAlignment="1">
      <alignment horizontal="center" vertical="center"/>
    </xf>
    <xf numFmtId="3" fontId="9" fillId="0" borderId="11" xfId="0" quotePrefix="1" applyNumberFormat="1" applyFont="1" applyBorder="1" applyAlignment="1">
      <alignment horizontal="right" vertical="center"/>
    </xf>
    <xf numFmtId="10" fontId="4" fillId="0" borderId="11" xfId="0" applyNumberFormat="1" applyFont="1" applyBorder="1" applyAlignment="1">
      <alignment horizontal="center" vertical="center"/>
    </xf>
    <xf numFmtId="1" fontId="9" fillId="0" borderId="11" xfId="0" applyNumberFormat="1" applyFont="1" applyBorder="1" applyAlignment="1">
      <alignment horizontal="center" vertical="center"/>
    </xf>
    <xf numFmtId="1" fontId="9" fillId="0" borderId="8" xfId="0" applyNumberFormat="1" applyFont="1" applyBorder="1" applyAlignment="1">
      <alignment horizontal="center" vertical="center"/>
    </xf>
    <xf numFmtId="0" fontId="4" fillId="24" borderId="0" xfId="0" applyFont="1" applyFill="1" applyAlignment="1" applyProtection="1">
      <alignment horizontal="center" vertical="center"/>
      <protection locked="0"/>
    </xf>
    <xf numFmtId="173" fontId="4" fillId="24" borderId="0" xfId="0" applyNumberFormat="1" applyFont="1" applyFill="1" applyAlignment="1" applyProtection="1">
      <alignment horizontal="center" vertical="center"/>
      <protection locked="0"/>
    </xf>
    <xf numFmtId="9" fontId="4" fillId="24" borderId="0" xfId="0" applyNumberFormat="1" applyFont="1" applyFill="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0" fontId="9" fillId="0" borderId="11"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3" fontId="4" fillId="17" borderId="0" xfId="0" applyNumberFormat="1" applyFont="1" applyFill="1" applyAlignment="1" applyProtection="1">
      <alignment horizontal="right" vertical="center"/>
      <protection locked="0"/>
    </xf>
    <xf numFmtId="0" fontId="117" fillId="0" borderId="0" xfId="0" applyFont="1" applyAlignment="1">
      <alignment horizontal="center" vertical="center"/>
    </xf>
    <xf numFmtId="0" fontId="9" fillId="15" borderId="3" xfId="0" applyFont="1" applyFill="1" applyBorder="1" applyAlignment="1">
      <alignment horizontal="center" vertical="center" wrapText="1"/>
    </xf>
    <xf numFmtId="4" fontId="142" fillId="0" borderId="0" xfId="0" applyNumberFormat="1" applyFont="1" applyAlignment="1">
      <alignment horizontal="centerContinuous" vertical="center"/>
    </xf>
    <xf numFmtId="4" fontId="30" fillId="0" borderId="0" xfId="0" applyNumberFormat="1" applyFont="1" applyAlignment="1">
      <alignment horizontal="centerContinuous" vertical="center"/>
    </xf>
    <xf numFmtId="0" fontId="30" fillId="0" borderId="0" xfId="0" applyFont="1" applyAlignment="1">
      <alignment horizontal="left" vertical="center" wrapText="1"/>
    </xf>
    <xf numFmtId="167" fontId="30" fillId="0" borderId="0" xfId="0" applyNumberFormat="1" applyFont="1" applyAlignment="1" applyProtection="1">
      <alignment horizontal="left" vertical="center"/>
      <protection hidden="1"/>
    </xf>
    <xf numFmtId="3" fontId="30" fillId="0" borderId="0" xfId="0" applyNumberFormat="1" applyFont="1" applyAlignment="1" applyProtection="1">
      <alignment horizontal="right" vertical="center"/>
      <protection hidden="1"/>
    </xf>
    <xf numFmtId="4" fontId="30" fillId="0" borderId="0" xfId="0" applyNumberFormat="1" applyFont="1" applyAlignment="1">
      <alignment horizontal="center" vertical="center"/>
    </xf>
    <xf numFmtId="4" fontId="4" fillId="0" borderId="0" xfId="0" applyNumberFormat="1" applyFont="1" applyAlignment="1" applyProtection="1">
      <alignment horizontal="left" vertical="center"/>
      <protection hidden="1"/>
    </xf>
    <xf numFmtId="2" fontId="49" fillId="0" borderId="0" xfId="0" applyNumberFormat="1" applyFont="1" applyAlignment="1">
      <alignment horizontal="centerContinuous" vertical="center"/>
    </xf>
    <xf numFmtId="2" fontId="7" fillId="0" borderId="0" xfId="0" applyNumberFormat="1" applyFont="1" applyAlignment="1">
      <alignment horizontal="centerContinuous" vertical="center"/>
    </xf>
    <xf numFmtId="2" fontId="4" fillId="0" borderId="0" xfId="0" applyNumberFormat="1" applyFont="1" applyAlignment="1">
      <alignment horizontal="center" vertical="center"/>
    </xf>
    <xf numFmtId="2" fontId="32" fillId="0" borderId="3" xfId="0" applyNumberFormat="1" applyFont="1" applyBorder="1" applyAlignment="1" applyProtection="1">
      <alignment horizontal="center" vertical="center"/>
      <protection hidden="1"/>
    </xf>
    <xf numFmtId="2" fontId="4" fillId="0" borderId="0" xfId="0" applyNumberFormat="1" applyFont="1" applyAlignment="1" applyProtection="1">
      <alignment horizontal="center" vertical="center"/>
      <protection hidden="1"/>
    </xf>
    <xf numFmtId="0" fontId="109" fillId="0" borderId="0" xfId="0" applyFont="1" applyAlignment="1" applyProtection="1">
      <alignment vertical="center"/>
      <protection locked="0"/>
    </xf>
    <xf numFmtId="173" fontId="4" fillId="0" borderId="3" xfId="0" applyNumberFormat="1" applyFont="1" applyBorder="1" applyAlignment="1">
      <alignment horizontal="center" vertical="center" wrapText="1"/>
    </xf>
    <xf numFmtId="9" fontId="4" fillId="0" borderId="3" xfId="0" applyNumberFormat="1" applyFont="1" applyBorder="1" applyAlignment="1">
      <alignment horizontal="center" vertical="center" wrapText="1"/>
    </xf>
    <xf numFmtId="10" fontId="4" fillId="0" borderId="3" xfId="0" applyNumberFormat="1" applyFont="1" applyBorder="1" applyAlignment="1">
      <alignment horizontal="center" vertical="center" wrapText="1"/>
    </xf>
    <xf numFmtId="10" fontId="46" fillId="0" borderId="3" xfId="0" applyNumberFormat="1" applyFont="1" applyBorder="1" applyAlignment="1">
      <alignment horizontal="center" vertical="center"/>
    </xf>
    <xf numFmtId="9" fontId="7" fillId="0" borderId="3" xfId="0" applyNumberFormat="1" applyFont="1" applyBorder="1" applyAlignment="1">
      <alignment vertical="center"/>
    </xf>
    <xf numFmtId="9" fontId="4" fillId="0" borderId="3" xfId="0" applyNumberFormat="1" applyFont="1" applyBorder="1" applyAlignment="1">
      <alignment vertical="center"/>
    </xf>
    <xf numFmtId="0" fontId="8" fillId="4" borderId="0" xfId="0" applyFont="1" applyFill="1" applyAlignment="1">
      <alignment horizontal="right" vertical="center"/>
    </xf>
    <xf numFmtId="3" fontId="8" fillId="0" borderId="0" xfId="0" applyNumberFormat="1" applyFont="1" applyAlignment="1">
      <alignment vertical="center"/>
    </xf>
    <xf numFmtId="0" fontId="8" fillId="0" borderId="0" xfId="0" applyFont="1" applyAlignment="1">
      <alignment horizontal="left" vertical="center"/>
    </xf>
    <xf numFmtId="0" fontId="98" fillId="0" borderId="0" xfId="0" applyFont="1" applyAlignment="1">
      <alignment horizontal="left" vertical="center"/>
    </xf>
    <xf numFmtId="3" fontId="8" fillId="0" borderId="0" xfId="0" applyNumberFormat="1" applyFont="1" applyAlignment="1">
      <alignment horizontal="right" vertical="center"/>
    </xf>
    <xf numFmtId="0" fontId="7" fillId="0" borderId="0" xfId="0" applyFont="1" applyAlignment="1">
      <alignment horizontal="right" vertical="center"/>
    </xf>
    <xf numFmtId="9" fontId="7" fillId="0" borderId="0" xfId="0" applyNumberFormat="1" applyFont="1" applyAlignment="1">
      <alignment horizontal="left" vertical="center"/>
    </xf>
    <xf numFmtId="0" fontId="56" fillId="0" borderId="0" xfId="0" applyFont="1" applyAlignment="1">
      <alignment horizontal="left" vertical="center"/>
    </xf>
    <xf numFmtId="0" fontId="8" fillId="0" borderId="3" xfId="0" applyFont="1" applyBorder="1" applyAlignment="1">
      <alignment horizontal="centerContinuous" vertical="center"/>
    </xf>
    <xf numFmtId="0" fontId="8" fillId="0" borderId="3" xfId="0" applyFont="1" applyBorder="1" applyAlignment="1">
      <alignment horizontal="center" vertical="center"/>
    </xf>
    <xf numFmtId="0" fontId="115" fillId="16" borderId="0" xfId="0" applyFont="1" applyFill="1" applyAlignment="1">
      <alignment horizontal="center" vertical="center"/>
    </xf>
    <xf numFmtId="0" fontId="7" fillId="0" borderId="3" xfId="0" applyFont="1" applyBorder="1" applyAlignment="1">
      <alignment horizontal="center" vertical="center"/>
    </xf>
    <xf numFmtId="0" fontId="7" fillId="0" borderId="3" xfId="0" applyFont="1" applyBorder="1" applyAlignment="1">
      <alignment horizontal="justify" vertical="center" wrapText="1"/>
    </xf>
    <xf numFmtId="9" fontId="8" fillId="0" borderId="3" xfId="0" applyNumberFormat="1" applyFont="1" applyBorder="1" applyAlignment="1">
      <alignment horizontal="center" vertical="center"/>
    </xf>
    <xf numFmtId="3" fontId="7" fillId="0" borderId="3" xfId="0" applyNumberFormat="1" applyFont="1" applyBorder="1" applyAlignment="1">
      <alignment horizontal="center" vertical="center"/>
    </xf>
    <xf numFmtId="0" fontId="8" fillId="0" borderId="0" xfId="0" applyFont="1" applyAlignment="1">
      <alignment horizontal="centerContinuous"/>
    </xf>
    <xf numFmtId="0" fontId="8"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1" xfId="0" applyFont="1" applyBorder="1" applyAlignment="1">
      <alignment horizontal="justify" vertical="center" wrapText="1"/>
    </xf>
    <xf numFmtId="0" fontId="7" fillId="0" borderId="8" xfId="0" applyFont="1" applyBorder="1" applyAlignment="1">
      <alignment horizontal="center" vertical="center"/>
    </xf>
    <xf numFmtId="0" fontId="7" fillId="0" borderId="8" xfId="0" applyFont="1" applyBorder="1" applyAlignment="1">
      <alignment horizontal="justify" vertical="center" wrapText="1"/>
    </xf>
    <xf numFmtId="178" fontId="7" fillId="0" borderId="8" xfId="0" applyNumberFormat="1" applyFont="1" applyBorder="1" applyAlignment="1">
      <alignment horizontal="center" vertical="center"/>
    </xf>
    <xf numFmtId="0" fontId="7" fillId="0" borderId="9" xfId="0" applyFont="1" applyBorder="1" applyAlignment="1">
      <alignment horizontal="center" vertical="center"/>
    </xf>
    <xf numFmtId="0" fontId="7" fillId="0" borderId="9" xfId="0" applyFont="1" applyBorder="1" applyAlignment="1">
      <alignment horizontal="justify" vertical="center" wrapText="1"/>
    </xf>
    <xf numFmtId="0" fontId="7" fillId="0" borderId="9" xfId="0" applyFont="1" applyBorder="1" applyAlignment="1">
      <alignment vertical="center"/>
    </xf>
    <xf numFmtId="178" fontId="7" fillId="0" borderId="9" xfId="0" applyNumberFormat="1"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pplyAlignment="1">
      <alignment horizontal="justify" vertical="center" wrapText="1"/>
    </xf>
    <xf numFmtId="3" fontId="7" fillId="0" borderId="4" xfId="0" applyNumberFormat="1" applyFont="1" applyBorder="1" applyAlignment="1">
      <alignment horizontal="right" vertical="center"/>
    </xf>
    <xf numFmtId="3" fontId="7" fillId="0" borderId="8" xfId="0" applyNumberFormat="1" applyFont="1" applyBorder="1" applyAlignment="1">
      <alignment horizontal="right" vertical="center"/>
    </xf>
    <xf numFmtId="3" fontId="7" fillId="0" borderId="9" xfId="0" applyNumberFormat="1" applyFont="1" applyBorder="1" applyAlignment="1">
      <alignment horizontal="right" vertical="center"/>
    </xf>
    <xf numFmtId="0" fontId="100" fillId="0" borderId="0" xfId="0" applyFont="1" applyAlignment="1">
      <alignment horizontal="left" vertical="center"/>
    </xf>
    <xf numFmtId="175" fontId="7" fillId="0" borderId="0" xfId="0" applyNumberFormat="1" applyFont="1" applyAlignment="1">
      <alignment vertical="center"/>
    </xf>
    <xf numFmtId="0" fontId="100" fillId="0" borderId="0" xfId="0" applyFont="1" applyAlignment="1">
      <alignment horizontal="center" vertical="center"/>
    </xf>
    <xf numFmtId="0" fontId="115" fillId="0" borderId="0" xfId="0" applyFont="1" applyAlignment="1">
      <alignment horizontal="centerContinuous" vertical="center"/>
    </xf>
    <xf numFmtId="3" fontId="7" fillId="0" borderId="9" xfId="0" applyNumberFormat="1" applyFont="1" applyBorder="1" applyAlignment="1">
      <alignment horizontal="center" vertical="center"/>
    </xf>
    <xf numFmtId="10" fontId="7" fillId="11" borderId="0" xfId="0" applyNumberFormat="1" applyFont="1" applyFill="1" applyAlignment="1">
      <alignment vertical="center"/>
    </xf>
    <xf numFmtId="176" fontId="7" fillId="0" borderId="0" xfId="0" applyNumberFormat="1" applyFont="1" applyAlignment="1">
      <alignment horizontal="left" vertical="center"/>
    </xf>
    <xf numFmtId="9" fontId="7" fillId="4" borderId="0" xfId="0" applyNumberFormat="1" applyFont="1" applyFill="1" applyAlignment="1">
      <alignment horizontal="center" vertical="center"/>
    </xf>
    <xf numFmtId="0" fontId="100" fillId="0" borderId="0" xfId="0" quotePrefix="1" applyFont="1" applyAlignment="1">
      <alignment horizontal="left" vertical="center" indent="1"/>
    </xf>
    <xf numFmtId="0" fontId="100" fillId="0" borderId="0" xfId="0" quotePrefix="1" applyFont="1" applyAlignment="1">
      <alignment horizontal="left" vertical="center" indent="3"/>
    </xf>
    <xf numFmtId="0" fontId="115" fillId="0" borderId="0" xfId="0" applyFont="1" applyAlignment="1">
      <alignment horizontal="right" vertical="center"/>
    </xf>
    <xf numFmtId="0" fontId="8" fillId="0" borderId="0" xfId="0" applyFont="1" applyAlignment="1">
      <alignment horizontal="right" vertical="center"/>
    </xf>
    <xf numFmtId="10" fontId="7" fillId="15" borderId="0" xfId="0" applyNumberFormat="1" applyFont="1" applyFill="1" applyAlignment="1">
      <alignment vertical="center"/>
    </xf>
    <xf numFmtId="3" fontId="4" fillId="0" borderId="8" xfId="0" applyNumberFormat="1" applyFont="1" applyBorder="1" applyAlignment="1">
      <alignment horizontal="justify" vertical="center" wrapText="1"/>
    </xf>
    <xf numFmtId="3" fontId="9" fillId="0" borderId="3" xfId="0" applyNumberFormat="1" applyFont="1" applyBorder="1" applyAlignment="1" applyProtection="1">
      <alignment vertical="center"/>
      <protection locked="0"/>
    </xf>
    <xf numFmtId="49" fontId="4" fillId="0" borderId="0" xfId="0" applyNumberFormat="1" applyFont="1" applyAlignment="1">
      <alignment horizontal="right" vertical="center"/>
    </xf>
    <xf numFmtId="49" fontId="4" fillId="0" borderId="12" xfId="0" applyNumberFormat="1" applyFont="1" applyBorder="1" applyAlignment="1">
      <alignment horizontal="center" vertical="center"/>
    </xf>
    <xf numFmtId="49" fontId="4" fillId="0" borderId="5" xfId="0" applyNumberFormat="1" applyFont="1" applyBorder="1" applyAlignment="1">
      <alignment horizontal="centerContinuous" vertical="center"/>
    </xf>
    <xf numFmtId="49" fontId="4" fillId="0" borderId="2" xfId="0" applyNumberFormat="1" applyFont="1" applyBorder="1" applyAlignment="1">
      <alignment horizontal="centerContinuous" vertical="center"/>
    </xf>
    <xf numFmtId="49" fontId="4" fillId="0" borderId="15" xfId="0" applyNumberFormat="1" applyFont="1" applyBorder="1" applyAlignment="1">
      <alignment horizontal="centerContinuous" vertical="center"/>
    </xf>
    <xf numFmtId="0" fontId="4" fillId="0" borderId="10" xfId="0" applyFont="1" applyBorder="1" applyAlignment="1">
      <alignment vertical="center"/>
    </xf>
    <xf numFmtId="0" fontId="4" fillId="0" borderId="3" xfId="0" applyFont="1" applyBorder="1" applyAlignment="1">
      <alignment horizontal="right" vertical="center"/>
    </xf>
    <xf numFmtId="1" fontId="4" fillId="0" borderId="3" xfId="0" applyNumberFormat="1" applyFont="1" applyBorder="1" applyAlignment="1">
      <alignment horizontal="center" vertical="center"/>
    </xf>
    <xf numFmtId="49" fontId="4" fillId="0" borderId="3" xfId="0" applyNumberFormat="1" applyFont="1" applyBorder="1" applyAlignment="1">
      <alignment vertical="center"/>
    </xf>
    <xf numFmtId="0" fontId="4" fillId="0" borderId="3" xfId="0" applyFont="1" applyBorder="1" applyAlignment="1" applyProtection="1">
      <alignment horizontal="center" vertical="center"/>
      <protection hidden="1"/>
    </xf>
    <xf numFmtId="0" fontId="4" fillId="0" borderId="2" xfId="0" applyFont="1" applyBorder="1" applyAlignment="1">
      <alignment horizontal="centerContinuous" vertical="center"/>
    </xf>
    <xf numFmtId="0" fontId="4" fillId="0" borderId="15" xfId="0" applyFont="1" applyBorder="1" applyAlignment="1">
      <alignment horizontal="centerContinuous" vertical="center"/>
    </xf>
    <xf numFmtId="49" fontId="4" fillId="0" borderId="10" xfId="0" applyNumberFormat="1" applyFont="1" applyBorder="1" applyAlignment="1">
      <alignment horizontal="center" vertical="center"/>
    </xf>
    <xf numFmtId="0" fontId="4" fillId="0" borderId="12" xfId="0" applyFont="1" applyBorder="1" applyAlignment="1">
      <alignment vertical="center"/>
    </xf>
    <xf numFmtId="0" fontId="4" fillId="0" borderId="43" xfId="0" applyFont="1" applyBorder="1" applyAlignment="1">
      <alignment horizontal="centerContinuous" vertical="center"/>
    </xf>
    <xf numFmtId="0" fontId="4" fillId="0" borderId="44" xfId="0" applyFont="1" applyBorder="1" applyAlignment="1">
      <alignment horizontal="centerContinuous" vertical="center"/>
    </xf>
    <xf numFmtId="0" fontId="4" fillId="0" borderId="45" xfId="0" applyFont="1" applyBorder="1" applyAlignment="1">
      <alignment horizontal="centerContinuous" vertical="center"/>
    </xf>
    <xf numFmtId="49" fontId="4" fillId="0" borderId="0" xfId="0" applyNumberFormat="1" applyFont="1" applyAlignment="1">
      <alignment horizontal="left" vertical="center"/>
    </xf>
    <xf numFmtId="49" fontId="4" fillId="0" borderId="0" xfId="0" applyNumberFormat="1" applyFont="1" applyAlignment="1">
      <alignment horizontal="centerContinuous" vertical="center"/>
    </xf>
    <xf numFmtId="49" fontId="4" fillId="0" borderId="3" xfId="0" applyNumberFormat="1" applyFont="1" applyBorder="1" applyAlignment="1">
      <alignment horizontal="centerContinuous" vertical="center"/>
    </xf>
    <xf numFmtId="191" fontId="4" fillId="0" borderId="3" xfId="0" applyNumberFormat="1" applyFont="1" applyBorder="1" applyAlignment="1">
      <alignment horizontal="center" vertical="center"/>
    </xf>
    <xf numFmtId="0" fontId="4" fillId="0" borderId="10" xfId="0" applyFont="1" applyBorder="1" applyAlignment="1">
      <alignment horizontal="right" vertical="center"/>
    </xf>
    <xf numFmtId="193" fontId="4" fillId="0" borderId="3" xfId="0" applyNumberFormat="1" applyFont="1" applyBorder="1" applyAlignment="1">
      <alignment vertical="center"/>
    </xf>
    <xf numFmtId="0" fontId="4" fillId="0" borderId="2" xfId="0" applyFont="1" applyBorder="1" applyAlignment="1" applyProtection="1">
      <alignment horizontal="centerContinuous" vertical="center"/>
      <protection hidden="1"/>
    </xf>
    <xf numFmtId="195" fontId="4" fillId="0" borderId="3" xfId="0" applyNumberFormat="1" applyFont="1" applyBorder="1" applyAlignment="1" applyProtection="1">
      <alignment horizontal="center" vertical="center"/>
      <protection hidden="1"/>
    </xf>
    <xf numFmtId="3" fontId="4" fillId="0" borderId="3" xfId="0" applyNumberFormat="1" applyFont="1" applyBorder="1" applyAlignment="1" applyProtection="1">
      <alignment vertical="center"/>
      <protection hidden="1"/>
    </xf>
    <xf numFmtId="0" fontId="4" fillId="26" borderId="0" xfId="0" applyFont="1" applyFill="1" applyAlignment="1" applyProtection="1">
      <alignment horizontal="center" vertical="center"/>
      <protection hidden="1"/>
    </xf>
    <xf numFmtId="0" fontId="4" fillId="15" borderId="0" xfId="0" applyFont="1" applyFill="1" applyAlignment="1" applyProtection="1">
      <alignment horizontal="center" vertical="center"/>
      <protection hidden="1"/>
    </xf>
    <xf numFmtId="0" fontId="4" fillId="27" borderId="0" xfId="0" applyFont="1" applyFill="1" applyAlignment="1" applyProtection="1">
      <alignment horizontal="center" vertical="center"/>
      <protection hidden="1"/>
    </xf>
    <xf numFmtId="0" fontId="4" fillId="11" borderId="0" xfId="0" applyFont="1" applyFill="1" applyAlignment="1" applyProtection="1">
      <alignment horizontal="center" vertical="center"/>
      <protection hidden="1"/>
    </xf>
    <xf numFmtId="0" fontId="108" fillId="0" borderId="3" xfId="0" applyFont="1" applyBorder="1" applyAlignment="1">
      <alignment vertical="center"/>
    </xf>
    <xf numFmtId="49" fontId="4" fillId="0" borderId="3" xfId="0" applyNumberFormat="1" applyFont="1" applyBorder="1" applyAlignment="1">
      <alignment horizontal="left" vertical="center"/>
    </xf>
    <xf numFmtId="49" fontId="9" fillId="0" borderId="0" xfId="0" applyNumberFormat="1" applyFont="1" applyAlignment="1">
      <alignment vertical="center"/>
    </xf>
    <xf numFmtId="0" fontId="108" fillId="0" borderId="3" xfId="0" applyFont="1" applyBorder="1" applyAlignment="1">
      <alignment vertical="center" wrapText="1"/>
    </xf>
    <xf numFmtId="0" fontId="108" fillId="0" borderId="3" xfId="0" applyFont="1" applyBorder="1" applyAlignment="1">
      <alignment horizontal="center" vertical="center" wrapText="1"/>
    </xf>
    <xf numFmtId="0" fontId="4" fillId="0" borderId="0" xfId="0" applyFont="1" applyAlignment="1" applyProtection="1">
      <alignment horizontal="center" vertical="center"/>
      <protection hidden="1"/>
    </xf>
    <xf numFmtId="0" fontId="174" fillId="0" borderId="0" xfId="0" applyFont="1" applyAlignment="1" applyProtection="1">
      <alignment horizontal="left" vertical="center"/>
      <protection locked="0"/>
    </xf>
    <xf numFmtId="0" fontId="4" fillId="0" borderId="5" xfId="0" applyFont="1" applyBorder="1" applyAlignment="1" applyProtection="1">
      <alignment vertical="center"/>
      <protection hidden="1"/>
    </xf>
    <xf numFmtId="0" fontId="4" fillId="0" borderId="2" xfId="0" applyFont="1" applyBorder="1" applyAlignment="1" applyProtection="1">
      <alignment vertical="center"/>
      <protection hidden="1"/>
    </xf>
    <xf numFmtId="0" fontId="4" fillId="0" borderId="15" xfId="0" applyFont="1" applyBorder="1" applyAlignment="1" applyProtection="1">
      <alignment vertical="center"/>
      <protection hidden="1"/>
    </xf>
    <xf numFmtId="0" fontId="65" fillId="0" borderId="3" xfId="0" applyFont="1" applyBorder="1" applyAlignment="1">
      <alignment horizontal="center" vertical="center" wrapText="1"/>
    </xf>
    <xf numFmtId="0" fontId="65" fillId="0" borderId="3" xfId="0" applyFont="1" applyBorder="1" applyAlignment="1">
      <alignment horizontal="center" vertical="center"/>
    </xf>
    <xf numFmtId="166" fontId="65" fillId="0" borderId="3" xfId="0" applyNumberFormat="1" applyFont="1" applyBorder="1" applyAlignment="1">
      <alignment horizontal="center" vertical="center"/>
    </xf>
    <xf numFmtId="3" fontId="65" fillId="0" borderId="3" xfId="0" applyNumberFormat="1" applyFont="1" applyBorder="1" applyAlignment="1">
      <alignment horizontal="center" vertical="center"/>
    </xf>
    <xf numFmtId="0" fontId="29" fillId="0" borderId="0" xfId="0" applyFont="1" applyAlignment="1">
      <alignment horizontal="center" wrapText="1"/>
    </xf>
    <xf numFmtId="166" fontId="65" fillId="0" borderId="0" xfId="0" applyNumberFormat="1" applyFont="1" applyAlignment="1">
      <alignment horizontal="center" vertical="center"/>
    </xf>
    <xf numFmtId="0" fontId="65" fillId="0" borderId="0" xfId="0" applyFont="1" applyAlignment="1">
      <alignment horizontal="right" vertical="center"/>
    </xf>
    <xf numFmtId="166" fontId="65" fillId="0" borderId="0" xfId="0" applyNumberFormat="1" applyFont="1" applyAlignment="1">
      <alignment horizontal="right" vertical="center"/>
    </xf>
    <xf numFmtId="3" fontId="65" fillId="0" borderId="0" xfId="0" applyNumberFormat="1" applyFont="1" applyAlignment="1">
      <alignment horizontal="right" vertical="center"/>
    </xf>
    <xf numFmtId="4" fontId="65" fillId="0" borderId="0" xfId="0" applyNumberFormat="1" applyFont="1" applyAlignment="1">
      <alignment horizontal="right" vertical="center"/>
    </xf>
    <xf numFmtId="10" fontId="4" fillId="0" borderId="0" xfId="0" applyNumberFormat="1" applyFont="1" applyAlignment="1">
      <alignment horizontal="right"/>
    </xf>
    <xf numFmtId="10" fontId="4" fillId="0" borderId="0" xfId="0" applyNumberFormat="1" applyFont="1" applyAlignment="1">
      <alignment horizontal="right" vertical="center"/>
    </xf>
    <xf numFmtId="4" fontId="65" fillId="0" borderId="3" xfId="0" applyNumberFormat="1" applyFont="1" applyBorder="1" applyAlignment="1">
      <alignment horizontal="center" vertical="center"/>
    </xf>
    <xf numFmtId="4" fontId="4" fillId="0" borderId="0" xfId="0" applyNumberFormat="1" applyFont="1" applyAlignment="1">
      <alignment horizontal="right" vertical="center"/>
    </xf>
    <xf numFmtId="166" fontId="4" fillId="0" borderId="3" xfId="0" applyNumberFormat="1" applyFont="1" applyBorder="1" applyAlignment="1">
      <alignment horizontal="center" vertical="center"/>
    </xf>
    <xf numFmtId="166" fontId="4" fillId="0" borderId="0" xfId="0" applyNumberFormat="1" applyFont="1" applyAlignment="1">
      <alignment horizontal="right" vertical="center"/>
    </xf>
    <xf numFmtId="3" fontId="65" fillId="0" borderId="0" xfId="0" applyNumberFormat="1" applyFont="1" applyAlignment="1">
      <alignment horizontal="center" vertical="center"/>
    </xf>
    <xf numFmtId="0" fontId="4" fillId="0" borderId="0" xfId="0" applyFont="1" applyAlignment="1">
      <alignment horizontal="left" wrapText="1"/>
    </xf>
    <xf numFmtId="0" fontId="65" fillId="0" borderId="0" xfId="0" applyFont="1" applyAlignment="1">
      <alignment horizontal="left" vertical="center" wrapText="1"/>
    </xf>
    <xf numFmtId="3" fontId="4" fillId="0" borderId="0" xfId="0" applyNumberFormat="1" applyFont="1" applyAlignment="1">
      <alignment horizontal="right"/>
    </xf>
    <xf numFmtId="166" fontId="65" fillId="0" borderId="3" xfId="0" applyNumberFormat="1" applyFont="1" applyBorder="1" applyAlignment="1">
      <alignment horizontal="center" vertical="center" wrapText="1"/>
    </xf>
    <xf numFmtId="166" fontId="65" fillId="0" borderId="0" xfId="0" applyNumberFormat="1" applyFont="1" applyAlignment="1">
      <alignment horizontal="center" vertical="center" wrapText="1"/>
    </xf>
    <xf numFmtId="2" fontId="80" fillId="0" borderId="0" xfId="0" applyNumberFormat="1" applyFont="1" applyAlignment="1">
      <alignment horizontal="centerContinuous" vertical="center"/>
    </xf>
    <xf numFmtId="2" fontId="44" fillId="0" borderId="0" xfId="0" applyNumberFormat="1" applyFont="1" applyAlignment="1">
      <alignment horizontal="centerContinuous" vertical="center" wrapText="1"/>
    </xf>
    <xf numFmtId="2" fontId="4" fillId="0" borderId="0" xfId="0" applyNumberFormat="1" applyFont="1" applyAlignment="1">
      <alignment horizontal="centerContinuous" vertical="center" wrapText="1"/>
    </xf>
    <xf numFmtId="2" fontId="4" fillId="0" borderId="0" xfId="0" applyNumberFormat="1" applyFont="1" applyAlignment="1">
      <alignment horizontal="centerContinuous" vertical="center"/>
    </xf>
    <xf numFmtId="2" fontId="97" fillId="0" borderId="0" xfId="0" applyNumberFormat="1" applyFont="1" applyAlignment="1" applyProtection="1">
      <alignment horizontal="centerContinuous" vertical="center"/>
      <protection locked="0"/>
    </xf>
    <xf numFmtId="2" fontId="7" fillId="0" borderId="0" xfId="0" applyNumberFormat="1" applyFont="1" applyAlignment="1">
      <alignment horizontal="centerContinuous" vertical="center" wrapText="1"/>
    </xf>
    <xf numFmtId="212" fontId="45" fillId="0" borderId="0" xfId="6" applyNumberFormat="1" applyFont="1" applyAlignment="1">
      <alignment vertical="center"/>
    </xf>
    <xf numFmtId="1" fontId="7" fillId="0" borderId="0" xfId="0" applyNumberFormat="1" applyFont="1" applyAlignment="1">
      <alignment horizontal="center" vertical="center"/>
    </xf>
    <xf numFmtId="0" fontId="178" fillId="0" borderId="0" xfId="0" applyFont="1" applyAlignment="1">
      <alignment vertical="center"/>
    </xf>
    <xf numFmtId="2" fontId="4" fillId="0" borderId="3" xfId="0" applyNumberFormat="1" applyFont="1" applyBorder="1" applyAlignment="1">
      <alignment vertical="center"/>
    </xf>
    <xf numFmtId="178" fontId="108" fillId="0" borderId="3" xfId="0" applyNumberFormat="1" applyFont="1" applyBorder="1" applyAlignment="1">
      <alignment horizontal="center" vertical="center"/>
    </xf>
    <xf numFmtId="178" fontId="4" fillId="0" borderId="3" xfId="0" applyNumberFormat="1" applyFont="1" applyBorder="1" applyAlignment="1">
      <alignment horizontal="center" vertical="center"/>
    </xf>
    <xf numFmtId="213" fontId="4" fillId="0" borderId="3" xfId="0" applyNumberFormat="1" applyFont="1" applyBorder="1" applyAlignment="1" applyProtection="1">
      <alignment vertical="center"/>
      <protection hidden="1"/>
    </xf>
    <xf numFmtId="190" fontId="113" fillId="11" borderId="3" xfId="0" applyNumberFormat="1" applyFont="1" applyFill="1" applyBorder="1" applyAlignment="1" applyProtection="1">
      <alignment vertical="center"/>
      <protection locked="0"/>
    </xf>
    <xf numFmtId="0" fontId="4" fillId="0" borderId="24" xfId="0" applyFont="1" applyBorder="1" applyAlignment="1">
      <alignment vertical="center" wrapText="1"/>
    </xf>
    <xf numFmtId="0" fontId="111" fillId="0" borderId="0" xfId="0" applyFont="1" applyAlignment="1">
      <alignment horizontal="center" vertical="center" wrapText="1"/>
    </xf>
    <xf numFmtId="0" fontId="108" fillId="0" borderId="8" xfId="0" applyFont="1" applyBorder="1" applyAlignment="1" applyProtection="1">
      <alignment horizontal="left" vertical="center"/>
      <protection locked="0"/>
    </xf>
    <xf numFmtId="0" fontId="112" fillId="0" borderId="8" xfId="0" applyFont="1" applyBorder="1" applyAlignment="1">
      <alignment horizontal="justify" vertical="center" wrapText="1"/>
    </xf>
    <xf numFmtId="0" fontId="128" fillId="0" borderId="0" xfId="0" applyFont="1" applyAlignment="1">
      <alignment horizontal="left" vertical="center"/>
    </xf>
    <xf numFmtId="0" fontId="112" fillId="0" borderId="8" xfId="0" applyFont="1" applyBorder="1" applyAlignment="1">
      <alignment horizontal="center" vertical="center" wrapText="1"/>
    </xf>
    <xf numFmtId="0" fontId="128" fillId="0" borderId="8" xfId="0" applyFont="1" applyBorder="1" applyAlignment="1">
      <alignment horizontal="center" vertical="center" wrapText="1"/>
    </xf>
    <xf numFmtId="0" fontId="128" fillId="0" borderId="9" xfId="0" applyFont="1" applyBorder="1" applyAlignment="1">
      <alignment horizontal="center" vertical="center" wrapText="1"/>
    </xf>
    <xf numFmtId="0" fontId="112" fillId="0" borderId="9" xfId="0" applyFont="1" applyBorder="1" applyAlignment="1">
      <alignment horizontal="center" vertical="center" wrapText="1"/>
    </xf>
    <xf numFmtId="0" fontId="112" fillId="0" borderId="9" xfId="0" applyFont="1" applyBorder="1" applyAlignment="1">
      <alignment horizontal="justify" vertical="center" wrapText="1"/>
    </xf>
    <xf numFmtId="0" fontId="4" fillId="0" borderId="11" xfId="0" applyFont="1" applyBorder="1" applyAlignment="1">
      <alignment vertical="center"/>
    </xf>
    <xf numFmtId="0" fontId="112" fillId="0" borderId="11" xfId="0" applyFont="1" applyBorder="1" applyAlignment="1">
      <alignment horizontal="center" vertical="center" wrapText="1"/>
    </xf>
    <xf numFmtId="187" fontId="111" fillId="0" borderId="3" xfId="0" applyNumberFormat="1" applyFont="1" applyBorder="1" applyAlignment="1">
      <alignment horizontal="center" vertical="center"/>
    </xf>
    <xf numFmtId="186" fontId="111" fillId="0" borderId="3" xfId="0" applyNumberFormat="1" applyFont="1" applyBorder="1" applyAlignment="1">
      <alignment horizontal="center" vertical="center"/>
    </xf>
    <xf numFmtId="0" fontId="128" fillId="0" borderId="11" xfId="0" applyFont="1" applyBorder="1" applyAlignment="1">
      <alignment horizontal="center" vertical="center" wrapText="1"/>
    </xf>
    <xf numFmtId="0" fontId="111" fillId="0" borderId="3" xfId="0" applyFont="1" applyBorder="1" applyAlignment="1">
      <alignment horizontal="centerContinuous" vertical="center" wrapText="1"/>
    </xf>
    <xf numFmtId="211" fontId="112" fillId="0" borderId="11" xfId="0" applyNumberFormat="1" applyFont="1" applyBorder="1" applyAlignment="1">
      <alignment horizontal="center" vertical="center" wrapText="1"/>
    </xf>
    <xf numFmtId="211" fontId="112" fillId="0" borderId="8" xfId="0" applyNumberFormat="1" applyFont="1" applyBorder="1" applyAlignment="1">
      <alignment horizontal="center" vertical="center" wrapText="1"/>
    </xf>
    <xf numFmtId="211" fontId="112" fillId="0" borderId="9" xfId="0" applyNumberFormat="1" applyFont="1" applyBorder="1" applyAlignment="1">
      <alignment horizontal="center" vertical="center" wrapText="1"/>
    </xf>
    <xf numFmtId="0" fontId="108" fillId="0" borderId="11" xfId="0" applyFont="1" applyBorder="1" applyAlignment="1">
      <alignment horizontal="center" vertical="center"/>
    </xf>
    <xf numFmtId="0" fontId="112" fillId="0" borderId="11" xfId="0" applyFont="1" applyBorder="1" applyAlignment="1">
      <alignment horizontal="justify" vertical="center" wrapText="1"/>
    </xf>
    <xf numFmtId="0" fontId="108" fillId="0" borderId="11" xfId="0" applyFont="1" applyBorder="1" applyAlignment="1">
      <alignment vertical="center"/>
    </xf>
    <xf numFmtId="0" fontId="108" fillId="0" borderId="3" xfId="0" applyFont="1" applyBorder="1" applyAlignment="1">
      <alignment horizontal="center" vertical="center"/>
    </xf>
    <xf numFmtId="2" fontId="108" fillId="0" borderId="9" xfId="0" applyNumberFormat="1" applyFont="1" applyBorder="1" applyAlignment="1">
      <alignment horizontal="center" vertical="center"/>
    </xf>
    <xf numFmtId="211" fontId="108" fillId="0" borderId="11" xfId="0" applyNumberFormat="1" applyFont="1" applyBorder="1" applyAlignment="1">
      <alignment horizontal="center" vertical="center"/>
    </xf>
    <xf numFmtId="211" fontId="108" fillId="0" borderId="9" xfId="0" applyNumberFormat="1" applyFont="1" applyBorder="1" applyAlignment="1">
      <alignment horizontal="center" vertical="center"/>
    </xf>
    <xf numFmtId="0" fontId="111" fillId="0" borderId="0" xfId="0" applyFont="1" applyAlignment="1">
      <alignment vertical="center" wrapText="1"/>
    </xf>
    <xf numFmtId="0" fontId="0" fillId="29" borderId="0" xfId="0" applyFill="1" applyAlignment="1">
      <alignment vertical="center" wrapText="1"/>
    </xf>
    <xf numFmtId="0" fontId="0" fillId="25" borderId="0" xfId="0" applyFill="1" applyAlignment="1">
      <alignment vertical="center" wrapText="1"/>
    </xf>
    <xf numFmtId="0" fontId="0" fillId="30" borderId="0" xfId="0" applyFill="1" applyAlignment="1">
      <alignment vertical="center" wrapText="1"/>
    </xf>
    <xf numFmtId="0" fontId="0" fillId="31" borderId="0" xfId="0" applyFill="1" applyAlignment="1">
      <alignment vertical="center" wrapText="1"/>
    </xf>
    <xf numFmtId="0" fontId="0" fillId="28" borderId="0" xfId="0" applyFill="1" applyAlignment="1">
      <alignment vertical="center" wrapText="1"/>
    </xf>
    <xf numFmtId="0" fontId="147" fillId="11" borderId="0" xfId="0" applyFont="1" applyFill="1" applyAlignment="1">
      <alignment vertical="center" wrapText="1"/>
    </xf>
    <xf numFmtId="211" fontId="112" fillId="25" borderId="0" xfId="0" applyNumberFormat="1" applyFont="1" applyFill="1" applyAlignment="1">
      <alignment vertical="center"/>
    </xf>
    <xf numFmtId="0" fontId="18" fillId="24" borderId="0" xfId="0" applyFont="1" applyFill="1" applyAlignment="1">
      <alignment vertical="center"/>
    </xf>
    <xf numFmtId="0" fontId="18" fillId="25" borderId="0" xfId="0" applyFont="1" applyFill="1" applyAlignment="1">
      <alignment vertical="center"/>
    </xf>
    <xf numFmtId="0" fontId="179" fillId="0" borderId="0" xfId="0" applyFont="1" applyAlignment="1">
      <alignment vertical="center" wrapText="1"/>
    </xf>
    <xf numFmtId="0" fontId="0" fillId="29" borderId="0" xfId="0" applyFill="1" applyAlignment="1">
      <alignment horizontal="center" vertical="center" wrapText="1"/>
    </xf>
    <xf numFmtId="0" fontId="0" fillId="25" borderId="0" xfId="0" applyFill="1" applyAlignment="1">
      <alignment horizontal="center" vertical="center" wrapText="1"/>
    </xf>
    <xf numFmtId="0" fontId="0" fillId="30" borderId="0" xfId="0" applyFill="1" applyAlignment="1">
      <alignment horizontal="center" vertical="center" wrapText="1"/>
    </xf>
    <xf numFmtId="0" fontId="0" fillId="31" borderId="0" xfId="0" applyFill="1" applyAlignment="1">
      <alignment horizontal="center" vertical="center" wrapText="1"/>
    </xf>
    <xf numFmtId="0" fontId="0" fillId="28" borderId="0" xfId="0" applyFill="1" applyAlignment="1">
      <alignment horizontal="center" vertical="center" wrapText="1"/>
    </xf>
    <xf numFmtId="0" fontId="179" fillId="11" borderId="0" xfId="0" applyFont="1" applyFill="1" applyAlignment="1">
      <alignment horizontal="right" vertical="center" wrapText="1"/>
    </xf>
    <xf numFmtId="0" fontId="180" fillId="0" borderId="0" xfId="0" applyFont="1" applyAlignment="1">
      <alignment vertical="center"/>
    </xf>
    <xf numFmtId="0" fontId="49" fillId="19" borderId="0" xfId="0" applyFont="1" applyFill="1" applyAlignment="1" applyProtection="1">
      <alignment horizontal="centerContinuous" vertical="center" wrapText="1"/>
      <protection locked="0"/>
    </xf>
    <xf numFmtId="0" fontId="9" fillId="0" borderId="3" xfId="0" applyFont="1" applyBorder="1" applyAlignment="1">
      <alignment horizontal="centerContinuous" vertical="center"/>
    </xf>
    <xf numFmtId="211" fontId="4" fillId="0" borderId="8" xfId="0" applyNumberFormat="1" applyFont="1" applyBorder="1" applyAlignment="1">
      <alignment horizontal="center" vertical="center"/>
    </xf>
    <xf numFmtId="211" fontId="4" fillId="0" borderId="9" xfId="0" applyNumberFormat="1" applyFont="1" applyBorder="1" applyAlignment="1">
      <alignment horizontal="center" vertical="center"/>
    </xf>
    <xf numFmtId="1" fontId="112" fillId="25" borderId="0" xfId="0" applyNumberFormat="1" applyFont="1" applyFill="1" applyAlignment="1">
      <alignment vertical="center"/>
    </xf>
    <xf numFmtId="0" fontId="9" fillId="0" borderId="11" xfId="0" applyFont="1" applyBorder="1" applyAlignment="1">
      <alignment horizontal="center" vertical="center"/>
    </xf>
    <xf numFmtId="0" fontId="181" fillId="0" borderId="0" xfId="0" applyFont="1" applyAlignment="1">
      <alignment horizontal="left" vertical="center"/>
    </xf>
    <xf numFmtId="0" fontId="181" fillId="0" borderId="8" xfId="0" applyFont="1" applyBorder="1" applyAlignment="1">
      <alignment horizontal="justify" vertical="center" wrapText="1"/>
    </xf>
    <xf numFmtId="0" fontId="181" fillId="0" borderId="9" xfId="0" applyFont="1" applyBorder="1" applyAlignment="1">
      <alignment horizontal="justify" vertical="center" wrapText="1"/>
    </xf>
    <xf numFmtId="0" fontId="181" fillId="0" borderId="4" xfId="0" applyFont="1" applyBorder="1" applyAlignment="1">
      <alignment horizontal="justify" vertical="center" wrapText="1"/>
    </xf>
    <xf numFmtId="0" fontId="108" fillId="0" borderId="0" xfId="7" quotePrefix="1" applyFont="1" applyAlignment="1">
      <alignment vertical="center"/>
    </xf>
    <xf numFmtId="3" fontId="183" fillId="0" borderId="8" xfId="7" applyNumberFormat="1" applyFont="1" applyBorder="1" applyAlignment="1">
      <alignment horizontal="justify" vertical="center" wrapText="1"/>
    </xf>
    <xf numFmtId="0" fontId="46" fillId="0" borderId="0" xfId="0" applyFont="1" applyAlignment="1">
      <alignment horizontal="centerContinuous"/>
    </xf>
    <xf numFmtId="3" fontId="184" fillId="0" borderId="8" xfId="7" applyNumberFormat="1" applyBorder="1" applyAlignment="1">
      <alignment horizontal="justify" vertical="center" wrapText="1"/>
    </xf>
    <xf numFmtId="0" fontId="108" fillId="0" borderId="8" xfId="7" applyFont="1" applyBorder="1" applyAlignment="1">
      <alignment vertical="center" wrapText="1"/>
    </xf>
    <xf numFmtId="0" fontId="111" fillId="0" borderId="8" xfId="0" applyFont="1" applyBorder="1" applyAlignment="1">
      <alignment vertical="center" wrapText="1"/>
    </xf>
    <xf numFmtId="0" fontId="111" fillId="0" borderId="8" xfId="7" applyFont="1" applyBorder="1" applyAlignment="1">
      <alignment vertical="center" wrapText="1"/>
    </xf>
    <xf numFmtId="0" fontId="24" fillId="0" borderId="0" xfId="0" applyFont="1" applyAlignment="1">
      <alignment horizontal="centerContinuous" vertical="center"/>
    </xf>
    <xf numFmtId="3" fontId="92" fillId="0" borderId="0" xfId="0" applyNumberFormat="1" applyFont="1" applyAlignment="1">
      <alignment horizontal="left" vertical="center"/>
    </xf>
    <xf numFmtId="3" fontId="33" fillId="0" borderId="0" xfId="0" applyNumberFormat="1" applyFont="1" applyAlignment="1">
      <alignment horizontal="left" vertical="center"/>
    </xf>
    <xf numFmtId="0" fontId="147" fillId="0" borderId="0" xfId="0" applyFont="1" applyAlignment="1" applyProtection="1">
      <alignment vertical="center"/>
      <protection locked="0"/>
    </xf>
    <xf numFmtId="0" fontId="123" fillId="0" borderId="0" xfId="7" applyFont="1" applyAlignment="1" applyProtection="1">
      <alignment horizontal="centerContinuous" vertical="center"/>
      <protection locked="0"/>
    </xf>
    <xf numFmtId="0" fontId="9" fillId="0" borderId="10" xfId="0" applyFont="1" applyBorder="1" applyAlignment="1" applyProtection="1">
      <alignment horizontal="center" vertical="center"/>
      <protection locked="0"/>
    </xf>
    <xf numFmtId="0" fontId="4" fillId="0" borderId="3" xfId="0" applyFont="1" applyBorder="1" applyAlignment="1">
      <alignment horizontal="left" vertical="center"/>
    </xf>
    <xf numFmtId="0" fontId="186" fillId="0" borderId="0" xfId="0" applyFont="1" applyAlignment="1" applyProtection="1">
      <alignment vertical="center"/>
      <protection locked="0"/>
    </xf>
    <xf numFmtId="0" fontId="188" fillId="0" borderId="0" xfId="7" applyFont="1" applyFill="1" applyBorder="1" applyAlignment="1" applyProtection="1">
      <alignment vertical="center"/>
      <protection locked="0"/>
    </xf>
    <xf numFmtId="0" fontId="183" fillId="0" borderId="0" xfId="7" applyFont="1" applyFill="1" applyBorder="1" applyAlignment="1" applyProtection="1">
      <alignment vertical="center"/>
      <protection locked="0"/>
    </xf>
    <xf numFmtId="3" fontId="15" fillId="0" borderId="0" xfId="0" applyNumberFormat="1" applyFont="1"/>
    <xf numFmtId="4" fontId="57" fillId="6" borderId="3" xfId="0" applyNumberFormat="1" applyFont="1" applyFill="1" applyBorder="1" applyAlignment="1">
      <alignment horizontal="center" vertical="center" wrapText="1"/>
    </xf>
    <xf numFmtId="4" fontId="57" fillId="32" borderId="3" xfId="0" applyNumberFormat="1" applyFont="1" applyFill="1" applyBorder="1" applyAlignment="1">
      <alignment horizontal="center" vertical="center" wrapText="1"/>
    </xf>
    <xf numFmtId="0" fontId="117" fillId="0" borderId="0" xfId="0" applyFont="1" applyAlignment="1">
      <alignment horizontal="right" vertical="center"/>
    </xf>
    <xf numFmtId="0" fontId="117" fillId="0" borderId="0" xfId="0" applyFont="1" applyAlignment="1">
      <alignment vertical="center"/>
    </xf>
    <xf numFmtId="0" fontId="116" fillId="0" borderId="0" xfId="0" applyFont="1" applyAlignment="1">
      <alignment horizontal="right" vertical="center"/>
    </xf>
    <xf numFmtId="0" fontId="112" fillId="0" borderId="0" xfId="0" applyFont="1"/>
    <xf numFmtId="0" fontId="128" fillId="0" borderId="0" xfId="0" applyFont="1" applyAlignment="1">
      <alignment horizontal="center" vertical="center"/>
    </xf>
    <xf numFmtId="0" fontId="0" fillId="0" borderId="0" xfId="0" applyAlignment="1">
      <alignment horizontal="justify" vertical="center"/>
    </xf>
    <xf numFmtId="0" fontId="44" fillId="17" borderId="3" xfId="0" applyFont="1" applyFill="1" applyBorder="1" applyAlignment="1">
      <alignment horizontal="center" vertical="center" wrapText="1"/>
    </xf>
    <xf numFmtId="0" fontId="44" fillId="33" borderId="3" xfId="0" applyFont="1" applyFill="1" applyBorder="1" applyAlignment="1">
      <alignment horizontal="center" vertical="center" wrapText="1"/>
    </xf>
    <xf numFmtId="0" fontId="0" fillId="0" borderId="51" xfId="0" applyBorder="1" applyAlignment="1">
      <alignment horizontal="justify" vertical="center"/>
    </xf>
    <xf numFmtId="0" fontId="190" fillId="0" borderId="0" xfId="0" applyFont="1" applyAlignment="1">
      <alignment horizontal="right" vertical="center"/>
    </xf>
    <xf numFmtId="0" fontId="190" fillId="0" borderId="0" xfId="0" quotePrefix="1" applyFont="1" applyAlignment="1">
      <alignment vertical="center"/>
    </xf>
    <xf numFmtId="0" fontId="190" fillId="0" borderId="0" xfId="0" applyFont="1" applyAlignment="1">
      <alignment vertical="center"/>
    </xf>
    <xf numFmtId="0" fontId="128" fillId="0" borderId="0" xfId="0" quotePrefix="1" applyFont="1" applyAlignment="1">
      <alignment horizontal="left" vertical="center"/>
    </xf>
    <xf numFmtId="0" fontId="130" fillId="0" borderId="0" xfId="0" applyFont="1" applyAlignment="1">
      <alignment horizontal="right" vertical="center"/>
    </xf>
    <xf numFmtId="0" fontId="127" fillId="0" borderId="0" xfId="0" applyFont="1" applyAlignment="1">
      <alignment vertical="center"/>
    </xf>
    <xf numFmtId="0" fontId="112" fillId="0" borderId="3" xfId="0" applyFont="1" applyBorder="1" applyAlignment="1">
      <alignment horizontal="center" vertical="center"/>
    </xf>
    <xf numFmtId="0" fontId="190" fillId="0" borderId="0" xfId="0" quotePrefix="1" applyFont="1" applyAlignment="1">
      <alignment vertical="center" wrapText="1"/>
    </xf>
    <xf numFmtId="0" fontId="117" fillId="0" borderId="12" xfId="0" applyFont="1" applyBorder="1" applyAlignment="1">
      <alignment horizontal="center" vertical="center"/>
    </xf>
    <xf numFmtId="215" fontId="4" fillId="17" borderId="0" xfId="0" applyNumberFormat="1" applyFont="1" applyFill="1" applyAlignment="1" applyProtection="1">
      <alignment horizontal="right" vertical="center"/>
      <protection locked="0"/>
    </xf>
    <xf numFmtId="49" fontId="4" fillId="0" borderId="0" xfId="0" applyNumberFormat="1" applyFont="1" applyAlignment="1" applyProtection="1">
      <alignment horizontal="justify" vertical="center" wrapText="1"/>
      <protection locked="0"/>
    </xf>
    <xf numFmtId="49" fontId="35" fillId="6" borderId="3" xfId="0" applyNumberFormat="1" applyFont="1" applyFill="1" applyBorder="1" applyAlignment="1">
      <alignment horizontal="center" vertical="center" wrapText="1"/>
    </xf>
    <xf numFmtId="0" fontId="14" fillId="0" borderId="22" xfId="0" applyFont="1" applyBorder="1" applyAlignment="1" applyProtection="1">
      <alignment horizontal="left" vertical="center"/>
      <protection locked="0"/>
    </xf>
    <xf numFmtId="0" fontId="29" fillId="0" borderId="11" xfId="0" applyFont="1" applyBorder="1" applyAlignment="1">
      <alignment horizontal="center" vertical="center" wrapText="1"/>
    </xf>
    <xf numFmtId="166" fontId="36" fillId="17" borderId="12" xfId="0" applyNumberFormat="1" applyFont="1" applyFill="1" applyBorder="1" applyAlignment="1">
      <alignment horizontal="center" vertical="center" wrapText="1"/>
    </xf>
    <xf numFmtId="0" fontId="36" fillId="17" borderId="12" xfId="0" applyFont="1" applyFill="1" applyBorder="1" applyAlignment="1">
      <alignment horizontal="center" vertical="center" wrapText="1"/>
    </xf>
    <xf numFmtId="3" fontId="9" fillId="15" borderId="3" xfId="0" applyNumberFormat="1" applyFont="1" applyFill="1" applyBorder="1" applyAlignment="1">
      <alignment horizontal="centerContinuous" vertical="center"/>
    </xf>
    <xf numFmtId="3" fontId="9" fillId="27" borderId="5" xfId="0" applyNumberFormat="1" applyFont="1" applyFill="1" applyBorder="1" applyAlignment="1">
      <alignment horizontal="centerContinuous" vertical="center"/>
    </xf>
    <xf numFmtId="3" fontId="9" fillId="27" borderId="2" xfId="0" applyNumberFormat="1" applyFont="1" applyFill="1" applyBorder="1" applyAlignment="1">
      <alignment horizontal="centerContinuous" vertical="center"/>
    </xf>
    <xf numFmtId="4" fontId="9" fillId="27" borderId="2" xfId="0" applyNumberFormat="1" applyFont="1" applyFill="1" applyBorder="1" applyAlignment="1">
      <alignment horizontal="centerContinuous" vertical="center"/>
    </xf>
    <xf numFmtId="3" fontId="9" fillId="27" borderId="15" xfId="0" applyNumberFormat="1" applyFont="1" applyFill="1" applyBorder="1" applyAlignment="1">
      <alignment horizontal="centerContinuous" vertical="center"/>
    </xf>
    <xf numFmtId="3" fontId="9" fillId="15" borderId="0" xfId="0" applyNumberFormat="1" applyFont="1" applyFill="1" applyAlignment="1">
      <alignment horizontal="centerContinuous" vertical="center"/>
    </xf>
    <xf numFmtId="0" fontId="9" fillId="15" borderId="0" xfId="0" applyFont="1" applyFill="1" applyAlignment="1">
      <alignment horizontal="centerContinuous" vertical="center"/>
    </xf>
    <xf numFmtId="10" fontId="9" fillId="15" borderId="0" xfId="0" applyNumberFormat="1" applyFont="1" applyFill="1" applyAlignment="1">
      <alignment horizontal="centerContinuous" vertical="center"/>
    </xf>
    <xf numFmtId="3" fontId="9" fillId="27" borderId="0" xfId="0" applyNumberFormat="1" applyFont="1" applyFill="1" applyAlignment="1">
      <alignment horizontal="centerContinuous" vertical="center"/>
    </xf>
    <xf numFmtId="3" fontId="4" fillId="27" borderId="0" xfId="0" applyNumberFormat="1" applyFont="1" applyFill="1" applyAlignment="1">
      <alignment horizontal="centerContinuous" vertical="center"/>
    </xf>
    <xf numFmtId="0" fontId="4" fillId="27" borderId="0" xfId="0" applyFont="1" applyFill="1" applyAlignment="1">
      <alignment horizontal="centerContinuous" vertical="center"/>
    </xf>
    <xf numFmtId="0" fontId="111" fillId="0" borderId="12" xfId="0" applyFont="1" applyBorder="1" applyAlignment="1">
      <alignment horizontal="justify" vertical="center" wrapText="1"/>
    </xf>
    <xf numFmtId="3" fontId="109" fillId="0" borderId="0" xfId="0" applyNumberFormat="1" applyFont="1" applyAlignment="1">
      <alignment horizontal="centerContinuous" vertical="center"/>
    </xf>
    <xf numFmtId="3" fontId="9" fillId="15" borderId="3" xfId="0" applyNumberFormat="1" applyFont="1" applyFill="1" applyBorder="1" applyAlignment="1">
      <alignment horizontal="center" vertical="center" wrapText="1"/>
    </xf>
    <xf numFmtId="3" fontId="9" fillId="17" borderId="3" xfId="0" applyNumberFormat="1" applyFont="1" applyFill="1" applyBorder="1" applyAlignment="1">
      <alignment horizontal="center" vertical="center" wrapText="1"/>
    </xf>
    <xf numFmtId="0" fontId="4" fillId="0" borderId="21" xfId="0" applyFont="1" applyBorder="1" applyAlignment="1">
      <alignment horizontal="centerContinuous" vertical="center"/>
    </xf>
    <xf numFmtId="0" fontId="4" fillId="0" borderId="20" xfId="0" applyFont="1" applyBorder="1" applyAlignment="1">
      <alignment horizontal="centerContinuous" vertical="center"/>
    </xf>
    <xf numFmtId="0" fontId="49" fillId="0" borderId="19" xfId="0" applyFont="1" applyBorder="1" applyAlignment="1">
      <alignment horizontal="centerContinuous" vertical="center"/>
    </xf>
    <xf numFmtId="0" fontId="195" fillId="0" borderId="0" xfId="0" applyFont="1" applyAlignment="1">
      <alignment horizontal="left" vertical="center"/>
    </xf>
    <xf numFmtId="0" fontId="196" fillId="0" borderId="0" xfId="0" applyFont="1" applyAlignment="1">
      <alignment vertical="center"/>
    </xf>
    <xf numFmtId="3" fontId="15" fillId="0" borderId="0" xfId="0" applyNumberFormat="1" applyFont="1" applyAlignment="1">
      <alignment vertical="center"/>
    </xf>
    <xf numFmtId="0" fontId="39" fillId="0" borderId="6" xfId="0" applyFont="1" applyBorder="1" applyAlignment="1">
      <alignment vertical="center"/>
    </xf>
    <xf numFmtId="0" fontId="49" fillId="0" borderId="6" xfId="0" applyFont="1" applyBorder="1" applyAlignment="1">
      <alignment vertical="center"/>
    </xf>
    <xf numFmtId="0" fontId="8" fillId="0" borderId="1" xfId="0" applyFont="1" applyBorder="1" applyAlignment="1">
      <alignment horizontal="centerContinuous" vertical="center"/>
    </xf>
    <xf numFmtId="0" fontId="197" fillId="0" borderId="6" xfId="0" applyFont="1" applyBorder="1" applyAlignment="1">
      <alignment horizontal="centerContinuous" vertical="center"/>
    </xf>
    <xf numFmtId="0" fontId="198" fillId="0" borderId="0" xfId="0" applyFont="1" applyAlignment="1">
      <alignment vertical="center"/>
    </xf>
    <xf numFmtId="0" fontId="98" fillId="0" borderId="0" xfId="0" applyFont="1" applyAlignment="1">
      <alignment vertical="center"/>
    </xf>
    <xf numFmtId="3" fontId="9" fillId="17" borderId="3" xfId="0" applyNumberFormat="1" applyFont="1" applyFill="1" applyBorder="1" applyAlignment="1">
      <alignment horizontal="right" vertical="center" wrapText="1"/>
    </xf>
    <xf numFmtId="3" fontId="9" fillId="17" borderId="3" xfId="0" applyNumberFormat="1" applyFont="1" applyFill="1" applyBorder="1" applyAlignment="1">
      <alignment horizontal="right" vertical="center"/>
    </xf>
    <xf numFmtId="0" fontId="9" fillId="17" borderId="3" xfId="0" applyFont="1" applyFill="1" applyBorder="1" applyAlignment="1">
      <alignment horizontal="center" vertical="center"/>
    </xf>
    <xf numFmtId="0" fontId="4" fillId="0" borderId="8" xfId="0" applyFont="1" applyBorder="1" applyAlignment="1">
      <alignment horizontal="right" vertical="center"/>
    </xf>
    <xf numFmtId="0" fontId="18" fillId="0" borderId="8" xfId="0" applyFont="1" applyBorder="1" applyAlignment="1" applyProtection="1">
      <alignment horizontal="right" vertical="center" shrinkToFit="1"/>
      <protection hidden="1"/>
    </xf>
    <xf numFmtId="0" fontId="4" fillId="0" borderId="11" xfId="0" applyFont="1" applyBorder="1" applyAlignment="1">
      <alignment horizontal="left" vertical="center"/>
    </xf>
    <xf numFmtId="0" fontId="9" fillId="10" borderId="3" xfId="0" applyFont="1" applyFill="1" applyBorder="1" applyAlignment="1">
      <alignment horizontal="center" vertical="center" wrapText="1"/>
    </xf>
    <xf numFmtId="0" fontId="35" fillId="0" borderId="0" xfId="0" applyFont="1" applyAlignment="1">
      <alignment vertical="center"/>
    </xf>
    <xf numFmtId="0" fontId="21" fillId="0" borderId="0" xfId="0" applyFont="1" applyAlignment="1">
      <alignment horizontal="centerContinuous" vertical="center"/>
    </xf>
    <xf numFmtId="0" fontId="199" fillId="0" borderId="0" xfId="0" applyFont="1" applyAlignment="1">
      <alignment horizontal="centerContinuous" vertical="center"/>
    </xf>
    <xf numFmtId="0" fontId="200" fillId="0" borderId="0" xfId="0" applyFont="1"/>
    <xf numFmtId="0" fontId="200" fillId="0" borderId="0" xfId="0" applyFont="1" applyAlignment="1">
      <alignment horizontal="center" vertical="center"/>
    </xf>
    <xf numFmtId="3" fontId="200" fillId="0" borderId="0" xfId="0" applyNumberFormat="1" applyFont="1" applyAlignment="1">
      <alignment horizontal="right" vertical="center"/>
    </xf>
    <xf numFmtId="4" fontId="200" fillId="0" borderId="0" xfId="0" applyNumberFormat="1" applyFont="1"/>
    <xf numFmtId="0" fontId="112" fillId="0" borderId="0" xfId="0" applyFont="1" applyAlignment="1">
      <alignment horizontal="center" vertical="center"/>
    </xf>
    <xf numFmtId="3" fontId="112" fillId="0" borderId="0" xfId="0" applyNumberFormat="1" applyFont="1" applyAlignment="1">
      <alignment horizontal="right" vertical="center"/>
    </xf>
    <xf numFmtId="4" fontId="112" fillId="0" borderId="0" xfId="0" applyNumberFormat="1" applyFont="1"/>
    <xf numFmtId="0" fontId="168" fillId="0" borderId="0" xfId="0" applyFont="1" applyAlignment="1">
      <alignment horizontal="centerContinuous" vertical="center"/>
    </xf>
    <xf numFmtId="3" fontId="168" fillId="0" borderId="0" xfId="0" applyNumberFormat="1" applyFont="1" applyAlignment="1">
      <alignment horizontal="centerContinuous" vertical="center"/>
    </xf>
    <xf numFmtId="3" fontId="110" fillId="0" borderId="0" xfId="0" applyNumberFormat="1" applyFont="1" applyAlignment="1">
      <alignment horizontal="centerContinuous" vertical="center"/>
    </xf>
    <xf numFmtId="0" fontId="201" fillId="0" borderId="0" xfId="0" applyFont="1" applyAlignment="1">
      <alignment horizontal="centerContinuous"/>
    </xf>
    <xf numFmtId="0" fontId="201" fillId="0" borderId="0" xfId="0" applyFont="1" applyAlignment="1">
      <alignment horizontal="centerContinuous" vertical="center"/>
    </xf>
    <xf numFmtId="3" fontId="201" fillId="0" borderId="0" xfId="0" applyNumberFormat="1" applyFont="1" applyAlignment="1">
      <alignment horizontal="centerContinuous" vertical="center"/>
    </xf>
    <xf numFmtId="4" fontId="201" fillId="0" borderId="0" xfId="0" applyNumberFormat="1" applyFont="1" applyAlignment="1">
      <alignment horizontal="centerContinuous"/>
    </xf>
    <xf numFmtId="0" fontId="200" fillId="12" borderId="0" xfId="0" applyFont="1" applyFill="1"/>
    <xf numFmtId="0" fontId="194" fillId="0" borderId="0" xfId="0" applyFont="1"/>
    <xf numFmtId="0" fontId="128" fillId="0" borderId="0" xfId="0" applyFont="1"/>
    <xf numFmtId="0" fontId="112" fillId="0" borderId="0" xfId="0" quotePrefix="1" applyFont="1"/>
    <xf numFmtId="3" fontId="9" fillId="12" borderId="8" xfId="0" applyNumberFormat="1" applyFont="1" applyFill="1" applyBorder="1" applyAlignment="1">
      <alignment horizontal="center" vertical="center"/>
    </xf>
    <xf numFmtId="0" fontId="0" fillId="12" borderId="0" xfId="0" applyFill="1"/>
    <xf numFmtId="0" fontId="200" fillId="0" borderId="1" xfId="0" applyFont="1" applyBorder="1"/>
    <xf numFmtId="0" fontId="200" fillId="12" borderId="0" xfId="0" applyFont="1" applyFill="1" applyAlignment="1">
      <alignment horizontal="center" vertical="center"/>
    </xf>
    <xf numFmtId="3" fontId="200" fillId="12" borderId="0" xfId="0" applyNumberFormat="1" applyFont="1" applyFill="1" applyAlignment="1">
      <alignment horizontal="right" vertical="center"/>
    </xf>
    <xf numFmtId="4" fontId="200" fillId="12" borderId="0" xfId="0" applyNumberFormat="1" applyFont="1" applyFill="1"/>
    <xf numFmtId="0" fontId="200" fillId="12" borderId="6" xfId="0" applyFont="1" applyFill="1" applyBorder="1"/>
    <xf numFmtId="0" fontId="200" fillId="35" borderId="21" xfId="0" applyFont="1" applyFill="1" applyBorder="1" applyAlignment="1">
      <alignment horizontal="centerContinuous" vertical="center"/>
    </xf>
    <xf numFmtId="0" fontId="200" fillId="35" borderId="20" xfId="0" applyFont="1" applyFill="1" applyBorder="1" applyAlignment="1">
      <alignment horizontal="centerContinuous" vertical="center"/>
    </xf>
    <xf numFmtId="3" fontId="200" fillId="35" borderId="20" xfId="0" applyNumberFormat="1" applyFont="1" applyFill="1" applyBorder="1" applyAlignment="1">
      <alignment horizontal="centerContinuous" vertical="center"/>
    </xf>
    <xf numFmtId="4" fontId="200" fillId="35" borderId="20" xfId="0" applyNumberFormat="1" applyFont="1" applyFill="1" applyBorder="1" applyAlignment="1">
      <alignment horizontal="centerContinuous" vertical="center"/>
    </xf>
    <xf numFmtId="0" fontId="204" fillId="35" borderId="20" xfId="0" applyFont="1" applyFill="1" applyBorder="1" applyAlignment="1">
      <alignment horizontal="centerContinuous" vertical="center"/>
    </xf>
    <xf numFmtId="0" fontId="110" fillId="35" borderId="19" xfId="0" applyFont="1" applyFill="1" applyBorder="1" applyAlignment="1">
      <alignment horizontal="centerContinuous" vertical="center"/>
    </xf>
    <xf numFmtId="0" fontId="200" fillId="35" borderId="1" xfId="0" applyFont="1" applyFill="1" applyBorder="1" applyAlignment="1">
      <alignment horizontal="centerContinuous" vertical="center"/>
    </xf>
    <xf numFmtId="0" fontId="200" fillId="35" borderId="0" xfId="0" applyFont="1" applyFill="1" applyAlignment="1">
      <alignment horizontal="centerContinuous" vertical="center"/>
    </xf>
    <xf numFmtId="3" fontId="200" fillId="35" borderId="0" xfId="0" applyNumberFormat="1" applyFont="1" applyFill="1" applyAlignment="1">
      <alignment horizontal="centerContinuous" vertical="center"/>
    </xf>
    <xf numFmtId="4" fontId="200" fillId="35" borderId="0" xfId="0" applyNumberFormat="1" applyFont="1" applyFill="1" applyAlignment="1">
      <alignment horizontal="centerContinuous" vertical="center"/>
    </xf>
    <xf numFmtId="0" fontId="204" fillId="35" borderId="0" xfId="0" applyFont="1" applyFill="1" applyAlignment="1">
      <alignment horizontal="centerContinuous" vertical="center"/>
    </xf>
    <xf numFmtId="0" fontId="110" fillId="35" borderId="6" xfId="0" applyFont="1" applyFill="1" applyBorder="1" applyAlignment="1">
      <alignment horizontal="centerContinuous" vertical="center"/>
    </xf>
    <xf numFmtId="0" fontId="205" fillId="35" borderId="18" xfId="0" applyFont="1" applyFill="1" applyBorder="1" applyAlignment="1">
      <alignment horizontal="centerContinuous" vertical="center"/>
    </xf>
    <xf numFmtId="0" fontId="205" fillId="35" borderId="17" xfId="0" applyFont="1" applyFill="1" applyBorder="1" applyAlignment="1">
      <alignment horizontal="centerContinuous" vertical="center"/>
    </xf>
    <xf numFmtId="3" fontId="205" fillId="35" borderId="17" xfId="0" applyNumberFormat="1" applyFont="1" applyFill="1" applyBorder="1" applyAlignment="1">
      <alignment horizontal="centerContinuous" vertical="center"/>
    </xf>
    <xf numFmtId="4" fontId="205" fillId="35" borderId="17" xfId="0" applyNumberFormat="1" applyFont="1" applyFill="1" applyBorder="1" applyAlignment="1">
      <alignment horizontal="centerContinuous" vertical="center"/>
    </xf>
    <xf numFmtId="0" fontId="24" fillId="35" borderId="16" xfId="0" applyFont="1" applyFill="1" applyBorder="1" applyAlignment="1">
      <alignment horizontal="centerContinuous" vertical="center"/>
    </xf>
    <xf numFmtId="0" fontId="31" fillId="0" borderId="0" xfId="0" applyFont="1" applyAlignment="1">
      <alignment vertical="center"/>
    </xf>
    <xf numFmtId="0" fontId="9" fillId="17" borderId="3" xfId="0" applyFont="1" applyFill="1" applyBorder="1" applyAlignment="1">
      <alignment horizontal="right" vertical="center"/>
    </xf>
    <xf numFmtId="3" fontId="14" fillId="0" borderId="8" xfId="0" applyNumberFormat="1" applyFont="1" applyBorder="1" applyAlignment="1">
      <alignment horizontal="right" vertical="center"/>
    </xf>
    <xf numFmtId="0" fontId="14" fillId="0" borderId="8" xfId="0" applyFont="1" applyBorder="1" applyAlignment="1">
      <alignment horizontal="center" vertical="center"/>
    </xf>
    <xf numFmtId="0" fontId="206" fillId="0" borderId="8" xfId="0" applyFont="1" applyBorder="1" applyAlignment="1" applyProtection="1">
      <alignment horizontal="center" vertical="center" shrinkToFit="1"/>
      <protection hidden="1"/>
    </xf>
    <xf numFmtId="0" fontId="14" fillId="0" borderId="8" xfId="0" applyFont="1" applyBorder="1" applyAlignment="1">
      <alignment horizontal="left" vertical="center" wrapText="1"/>
    </xf>
    <xf numFmtId="0" fontId="18" fillId="0" borderId="8" xfId="0" applyFont="1" applyBorder="1" applyAlignment="1" applyProtection="1">
      <alignment horizontal="center" vertical="center" shrinkToFit="1"/>
      <protection hidden="1"/>
    </xf>
    <xf numFmtId="0" fontId="4" fillId="0" borderId="11" xfId="0" applyFont="1" applyBorder="1" applyAlignment="1">
      <alignment horizontal="right" vertical="center"/>
    </xf>
    <xf numFmtId="9" fontId="114" fillId="0" borderId="0" xfId="0" applyNumberFormat="1" applyFont="1" applyAlignment="1">
      <alignment vertical="center"/>
    </xf>
    <xf numFmtId="0" fontId="9" fillId="17" borderId="7"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horizontal="center" vertical="center"/>
    </xf>
    <xf numFmtId="0" fontId="15" fillId="0" borderId="0" xfId="0" applyFont="1" applyAlignment="1">
      <alignment horizontal="centerContinuous" vertical="center"/>
    </xf>
    <xf numFmtId="0" fontId="4" fillId="0" borderId="0" xfId="8" applyFont="1" applyAlignment="1" applyProtection="1">
      <alignment vertical="center"/>
      <protection hidden="1"/>
    </xf>
    <xf numFmtId="0" fontId="4" fillId="0" borderId="0" xfId="8" applyFont="1" applyAlignment="1" applyProtection="1">
      <alignment horizontal="left" vertical="center"/>
      <protection hidden="1"/>
    </xf>
    <xf numFmtId="0" fontId="4" fillId="0" borderId="0" xfId="8" applyFont="1" applyAlignment="1" applyProtection="1">
      <alignment horizontal="center" vertical="center"/>
      <protection hidden="1"/>
    </xf>
    <xf numFmtId="0" fontId="32" fillId="0" borderId="0" xfId="0" applyFont="1"/>
    <xf numFmtId="0" fontId="32" fillId="0" borderId="0" xfId="0" applyFont="1" applyAlignment="1">
      <alignment horizontal="left" vertical="center"/>
    </xf>
    <xf numFmtId="216" fontId="116" fillId="0" borderId="0" xfId="0" applyNumberFormat="1" applyFont="1" applyAlignment="1">
      <alignment horizontal="center" vertical="center"/>
    </xf>
    <xf numFmtId="0" fontId="32" fillId="0" borderId="0" xfId="0" applyFont="1" applyAlignment="1">
      <alignment horizontal="center" vertical="center"/>
    </xf>
    <xf numFmtId="0" fontId="29" fillId="0" borderId="0" xfId="0" applyFont="1" applyAlignment="1">
      <alignment horizontal="left" vertical="center"/>
    </xf>
    <xf numFmtId="0" fontId="35" fillId="0" borderId="0" xfId="0" applyFont="1"/>
    <xf numFmtId="0" fontId="117" fillId="34" borderId="3" xfId="0" applyFont="1" applyFill="1" applyBorder="1" applyAlignment="1">
      <alignment horizontal="left" vertical="center" wrapText="1"/>
    </xf>
    <xf numFmtId="0" fontId="117" fillId="34" borderId="5" xfId="0" applyFont="1" applyFill="1" applyBorder="1" applyAlignment="1">
      <alignment horizontal="right" vertical="center" wrapText="1"/>
    </xf>
    <xf numFmtId="0" fontId="117" fillId="34" borderId="5" xfId="0" applyFont="1" applyFill="1" applyBorder="1" applyAlignment="1">
      <alignment horizontal="center" vertical="center" wrapText="1"/>
    </xf>
    <xf numFmtId="0" fontId="35" fillId="34" borderId="3" xfId="0" applyFont="1" applyFill="1" applyBorder="1" applyAlignment="1">
      <alignment horizontal="center" vertical="center" wrapText="1"/>
    </xf>
    <xf numFmtId="0" fontId="116" fillId="0" borderId="8" xfId="0" applyFont="1" applyBorder="1" applyAlignment="1">
      <alignment horizontal="left" vertical="center" wrapText="1"/>
    </xf>
    <xf numFmtId="0" fontId="116" fillId="0" borderId="14" xfId="0" applyFont="1" applyBorder="1" applyAlignment="1">
      <alignment horizontal="right" vertical="center" wrapText="1"/>
    </xf>
    <xf numFmtId="0" fontId="116" fillId="0" borderId="8" xfId="0" applyFont="1" applyBorder="1" applyAlignment="1">
      <alignment horizontal="right" vertical="center" wrapText="1"/>
    </xf>
    <xf numFmtId="216" fontId="116" fillId="0" borderId="8" xfId="0" applyNumberFormat="1" applyFont="1" applyBorder="1" applyAlignment="1">
      <alignment horizontal="right" vertical="center" wrapText="1"/>
    </xf>
    <xf numFmtId="0" fontId="116" fillId="0" borderId="8" xfId="0" applyFont="1" applyBorder="1" applyAlignment="1">
      <alignment horizontal="center" vertical="center" wrapText="1"/>
    </xf>
    <xf numFmtId="0" fontId="117" fillId="0" borderId="8" xfId="0" applyFont="1" applyBorder="1" applyAlignment="1">
      <alignment horizontal="center" vertical="center" wrapText="1"/>
    </xf>
    <xf numFmtId="0" fontId="207" fillId="0" borderId="0" xfId="0" applyFont="1"/>
    <xf numFmtId="0" fontId="117" fillId="0" borderId="8" xfId="0" applyFont="1" applyBorder="1" applyAlignment="1">
      <alignment horizontal="left" vertical="center" wrapText="1"/>
    </xf>
    <xf numFmtId="0" fontId="117" fillId="0" borderId="8" xfId="0" applyFont="1" applyBorder="1" applyAlignment="1">
      <alignment horizontal="right" vertical="center" wrapText="1"/>
    </xf>
    <xf numFmtId="216" fontId="117" fillId="0" borderId="8" xfId="0" applyNumberFormat="1" applyFont="1" applyBorder="1" applyAlignment="1">
      <alignment horizontal="right" vertical="center" wrapText="1"/>
    </xf>
    <xf numFmtId="0" fontId="44" fillId="0" borderId="8" xfId="0" applyFont="1" applyBorder="1" applyAlignment="1">
      <alignment horizontal="center" vertical="center" wrapText="1"/>
    </xf>
    <xf numFmtId="0" fontId="208" fillId="0" borderId="0" xfId="0" applyFont="1"/>
    <xf numFmtId="0" fontId="209" fillId="0" borderId="0" xfId="0" applyFont="1"/>
    <xf numFmtId="0" fontId="210" fillId="0" borderId="0" xfId="0" applyFont="1"/>
    <xf numFmtId="0" fontId="116" fillId="0" borderId="8" xfId="0" applyFont="1" applyBorder="1" applyAlignment="1">
      <alignment horizontal="left" vertical="center"/>
    </xf>
    <xf numFmtId="0" fontId="116" fillId="0" borderId="8" xfId="0" applyFont="1" applyBorder="1" applyAlignment="1">
      <alignment horizontal="right" vertical="center"/>
    </xf>
    <xf numFmtId="216" fontId="116" fillId="0" borderId="8" xfId="0" applyNumberFormat="1" applyFont="1" applyBorder="1" applyAlignment="1">
      <alignment horizontal="right" vertical="center"/>
    </xf>
    <xf numFmtId="0" fontId="116" fillId="0" borderId="8" xfId="0" applyFont="1" applyBorder="1" applyAlignment="1">
      <alignment horizontal="center" vertical="center"/>
    </xf>
    <xf numFmtId="0" fontId="117" fillId="0" borderId="8" xfId="0" applyFont="1" applyBorder="1" applyAlignment="1">
      <alignment horizontal="center" vertical="center"/>
    </xf>
    <xf numFmtId="0" fontId="117" fillId="0" borderId="8" xfId="0" applyFont="1" applyBorder="1" applyAlignment="1">
      <alignment horizontal="left" vertical="center"/>
    </xf>
    <xf numFmtId="0" fontId="117" fillId="0" borderId="8" xfId="0" applyFont="1" applyBorder="1" applyAlignment="1">
      <alignment horizontal="right" vertical="center"/>
    </xf>
    <xf numFmtId="216" fontId="117" fillId="0" borderId="8" xfId="0" applyNumberFormat="1" applyFont="1" applyBorder="1" applyAlignment="1">
      <alignment horizontal="right" vertical="center"/>
    </xf>
    <xf numFmtId="0" fontId="117" fillId="0" borderId="12" xfId="0" applyFont="1" applyBorder="1" applyAlignment="1">
      <alignment horizontal="left" vertical="center"/>
    </xf>
    <xf numFmtId="0" fontId="117" fillId="0" borderId="12" xfId="0" applyFont="1" applyBorder="1" applyAlignment="1">
      <alignment horizontal="right" vertical="center"/>
    </xf>
    <xf numFmtId="216" fontId="117" fillId="0" borderId="12" xfId="0" applyNumberFormat="1" applyFont="1" applyBorder="1" applyAlignment="1">
      <alignment horizontal="right" vertical="center"/>
    </xf>
    <xf numFmtId="0" fontId="117" fillId="0" borderId="12" xfId="0" applyFont="1" applyBorder="1" applyAlignment="1">
      <alignment horizontal="left" vertical="center" wrapText="1"/>
    </xf>
    <xf numFmtId="0" fontId="44" fillId="0" borderId="12" xfId="0" applyFont="1" applyBorder="1" applyAlignment="1">
      <alignment horizontal="center" vertical="center"/>
    </xf>
    <xf numFmtId="0" fontId="116" fillId="0" borderId="3" xfId="0" applyFont="1" applyBorder="1" applyAlignment="1">
      <alignment horizontal="center" vertical="center"/>
    </xf>
    <xf numFmtId="0" fontId="116" fillId="0" borderId="3" xfId="0" applyFont="1" applyBorder="1" applyAlignment="1">
      <alignment horizontal="center" vertical="center" wrapText="1"/>
    </xf>
    <xf numFmtId="49" fontId="116" fillId="0" borderId="3" xfId="0" applyNumberFormat="1" applyFont="1" applyBorder="1" applyAlignment="1">
      <alignment horizontal="center" vertical="center" wrapText="1"/>
    </xf>
    <xf numFmtId="0" fontId="32" fillId="0" borderId="0" xfId="0" applyFont="1" applyAlignment="1">
      <alignment wrapText="1"/>
    </xf>
    <xf numFmtId="0" fontId="211" fillId="0" borderId="0" xfId="0" applyFont="1" applyAlignment="1">
      <alignment wrapText="1"/>
    </xf>
    <xf numFmtId="0" fontId="117" fillId="4" borderId="3" xfId="0" applyFont="1" applyFill="1" applyBorder="1" applyAlignment="1">
      <alignment horizontal="center" vertical="center" wrapText="1"/>
    </xf>
    <xf numFmtId="0" fontId="35" fillId="4" borderId="3" xfId="0" applyFont="1" applyFill="1" applyBorder="1" applyAlignment="1">
      <alignment horizontal="center" vertical="center" wrapText="1"/>
    </xf>
    <xf numFmtId="217" fontId="43" fillId="0" borderId="0" xfId="0" applyNumberFormat="1" applyFont="1" applyAlignment="1">
      <alignment horizontal="right" vertical="center"/>
    </xf>
    <xf numFmtId="0" fontId="212" fillId="0" borderId="0" xfId="0" applyFont="1" applyAlignment="1">
      <alignment vertical="center"/>
    </xf>
    <xf numFmtId="216" fontId="212" fillId="0" borderId="0" xfId="0" applyNumberFormat="1" applyFont="1" applyAlignment="1">
      <alignment vertical="center"/>
    </xf>
    <xf numFmtId="0" fontId="213" fillId="0" borderId="0" xfId="0" applyFont="1" applyAlignment="1">
      <alignment vertical="center"/>
    </xf>
    <xf numFmtId="0" fontId="209" fillId="0" borderId="0" xfId="0" applyFont="1" applyAlignment="1">
      <alignment vertical="center"/>
    </xf>
    <xf numFmtId="0" fontId="213" fillId="0" borderId="0" xfId="0" applyFont="1" applyAlignment="1">
      <alignment horizontal="center" vertical="center"/>
    </xf>
    <xf numFmtId="0" fontId="44" fillId="0" borderId="0" xfId="0" applyFont="1" applyAlignment="1">
      <alignment horizontal="left" vertical="center"/>
    </xf>
    <xf numFmtId="0" fontId="44" fillId="0" borderId="0" xfId="0" applyFont="1" applyAlignment="1">
      <alignment horizontal="right" vertical="center"/>
    </xf>
    <xf numFmtId="0" fontId="214" fillId="0" borderId="0" xfId="0" applyFont="1" applyAlignment="1">
      <alignment vertical="center"/>
    </xf>
    <xf numFmtId="0" fontId="13" fillId="0" borderId="0" xfId="0" applyFont="1" applyAlignment="1">
      <alignment horizontal="centerContinuous" vertical="center"/>
    </xf>
    <xf numFmtId="3" fontId="117" fillId="0" borderId="4" xfId="0" applyNumberFormat="1" applyFont="1" applyBorder="1" applyAlignment="1">
      <alignment vertical="center"/>
    </xf>
    <xf numFmtId="3" fontId="117" fillId="0" borderId="8" xfId="0" applyNumberFormat="1" applyFont="1" applyBorder="1" applyAlignment="1">
      <alignment vertical="center"/>
    </xf>
    <xf numFmtId="3" fontId="117" fillId="34" borderId="3" xfId="0" applyNumberFormat="1" applyFont="1" applyFill="1" applyBorder="1" applyAlignment="1">
      <alignment vertical="center"/>
    </xf>
    <xf numFmtId="3" fontId="115" fillId="0" borderId="0" xfId="0" applyNumberFormat="1" applyFont="1" applyAlignment="1">
      <alignment horizontal="right" vertical="center"/>
    </xf>
    <xf numFmtId="0" fontId="215" fillId="0" borderId="0" xfId="0" applyFont="1" applyAlignment="1">
      <alignment horizontal="left" vertical="center"/>
    </xf>
    <xf numFmtId="9" fontId="7" fillId="10" borderId="0" xfId="0" applyNumberFormat="1" applyFont="1" applyFill="1" applyAlignment="1">
      <alignment horizontal="left" vertical="center"/>
    </xf>
    <xf numFmtId="0" fontId="8" fillId="10" borderId="0" xfId="0" applyFont="1" applyFill="1" applyAlignment="1">
      <alignment horizontal="left" vertical="center"/>
    </xf>
    <xf numFmtId="0" fontId="7" fillId="0" borderId="0" xfId="0" applyFont="1" applyAlignment="1">
      <alignment horizontal="justify" vertical="center" wrapText="1"/>
    </xf>
    <xf numFmtId="3" fontId="7" fillId="0" borderId="0" xfId="0" applyNumberFormat="1" applyFont="1" applyAlignment="1">
      <alignment horizontal="right" vertical="center"/>
    </xf>
    <xf numFmtId="3" fontId="7" fillId="10" borderId="9" xfId="0" applyNumberFormat="1" applyFont="1" applyFill="1" applyBorder="1" applyAlignment="1">
      <alignment horizontal="right" vertical="center"/>
    </xf>
    <xf numFmtId="0" fontId="113" fillId="0" borderId="0" xfId="0" applyFont="1" applyAlignment="1" applyProtection="1">
      <alignment vertical="center"/>
      <protection hidden="1"/>
    </xf>
    <xf numFmtId="3" fontId="4" fillId="11" borderId="0" xfId="0" applyNumberFormat="1" applyFont="1" applyFill="1" applyAlignment="1" applyProtection="1">
      <alignment horizontal="center" vertical="center"/>
      <protection hidden="1"/>
    </xf>
    <xf numFmtId="0" fontId="4" fillId="0" borderId="67" xfId="0" applyFont="1" applyBorder="1" applyAlignment="1" applyProtection="1">
      <alignment horizontal="center" vertical="center"/>
      <protection hidden="1"/>
    </xf>
    <xf numFmtId="0" fontId="4" fillId="26" borderId="67" xfId="0" applyFont="1" applyFill="1" applyBorder="1" applyAlignment="1" applyProtection="1">
      <alignment horizontal="center" vertical="center"/>
      <protection hidden="1"/>
    </xf>
    <xf numFmtId="0" fontId="9" fillId="11" borderId="3" xfId="0" applyFont="1" applyFill="1" applyBorder="1" applyAlignment="1" applyProtection="1">
      <alignment vertical="center"/>
      <protection hidden="1"/>
    </xf>
    <xf numFmtId="0" fontId="9" fillId="11" borderId="3" xfId="0" applyFont="1" applyFill="1" applyBorder="1" applyAlignment="1" applyProtection="1">
      <alignment horizontal="center" vertical="center"/>
      <protection hidden="1"/>
    </xf>
    <xf numFmtId="3" fontId="32" fillId="0" borderId="3" xfId="0" applyNumberFormat="1" applyFont="1" applyBorder="1" applyAlignment="1">
      <alignment horizontal="center" vertical="center" wrapText="1"/>
    </xf>
    <xf numFmtId="0" fontId="111" fillId="0" borderId="12" xfId="0" applyFont="1" applyBorder="1" applyAlignment="1">
      <alignment vertical="center"/>
    </xf>
    <xf numFmtId="3" fontId="9" fillId="0" borderId="4" xfId="0" applyNumberFormat="1" applyFont="1" applyBorder="1" applyAlignment="1">
      <alignment vertical="center"/>
    </xf>
    <xf numFmtId="0" fontId="97" fillId="0" borderId="0" xfId="0" applyFont="1" applyAlignment="1" applyProtection="1">
      <alignment horizontal="left" vertical="center"/>
      <protection locked="0"/>
    </xf>
    <xf numFmtId="0" fontId="34" fillId="0" borderId="10" xfId="0" applyFont="1" applyBorder="1" applyAlignment="1">
      <alignment horizontal="center" vertical="center"/>
    </xf>
    <xf numFmtId="0" fontId="35" fillId="0" borderId="10" xfId="0" applyFont="1" applyBorder="1" applyAlignment="1">
      <alignment horizontal="center" vertical="center"/>
    </xf>
    <xf numFmtId="0" fontId="13" fillId="0" borderId="10" xfId="0" applyFont="1" applyBorder="1" applyAlignment="1">
      <alignment horizontal="centerContinuous" vertical="center" wrapText="1"/>
    </xf>
    <xf numFmtId="0" fontId="9" fillId="0" borderId="10" xfId="0" applyFont="1" applyBorder="1" applyAlignment="1">
      <alignment horizontal="center" vertical="center"/>
    </xf>
    <xf numFmtId="3" fontId="9" fillId="0" borderId="10" xfId="0" applyNumberFormat="1" applyFont="1" applyBorder="1" applyAlignment="1">
      <alignment horizontal="center" vertical="center"/>
    </xf>
    <xf numFmtId="3" fontId="9" fillId="0" borderId="10" xfId="0" applyNumberFormat="1" applyFont="1" applyBorder="1" applyAlignment="1">
      <alignment vertical="center"/>
    </xf>
    <xf numFmtId="0" fontId="9" fillId="0" borderId="10" xfId="0" applyFont="1" applyBorder="1" applyAlignment="1">
      <alignment vertical="center"/>
    </xf>
    <xf numFmtId="0" fontId="9" fillId="6" borderId="12" xfId="0" applyFont="1" applyFill="1" applyBorder="1" applyAlignment="1">
      <alignment horizontal="center" vertical="center" wrapText="1"/>
    </xf>
    <xf numFmtId="3" fontId="9" fillId="6" borderId="12" xfId="0" applyNumberFormat="1" applyFont="1" applyFill="1" applyBorder="1" applyAlignment="1">
      <alignment horizontal="center" vertical="center" wrapText="1"/>
    </xf>
    <xf numFmtId="3" fontId="9" fillId="6" borderId="3" xfId="0" applyNumberFormat="1" applyFont="1" applyFill="1" applyBorder="1" applyAlignment="1">
      <alignment horizontal="centerContinuous" vertical="center"/>
    </xf>
    <xf numFmtId="3" fontId="9" fillId="0" borderId="11" xfId="0" applyNumberFormat="1" applyFont="1" applyBorder="1" applyAlignment="1">
      <alignment vertical="center"/>
    </xf>
    <xf numFmtId="9" fontId="4" fillId="0" borderId="11" xfId="0" applyNumberFormat="1" applyFont="1" applyBorder="1" applyAlignment="1">
      <alignment horizontal="center" vertical="center"/>
    </xf>
    <xf numFmtId="9" fontId="9" fillId="0" borderId="8" xfId="0" applyNumberFormat="1" applyFont="1" applyBorder="1" applyAlignment="1">
      <alignment horizontal="center" vertical="center"/>
    </xf>
    <xf numFmtId="0" fontId="4" fillId="0" borderId="14" xfId="0" applyFont="1" applyBorder="1" applyAlignment="1">
      <alignment horizontal="justify" vertical="center" wrapText="1"/>
    </xf>
    <xf numFmtId="3" fontId="4" fillId="0" borderId="14" xfId="0" applyNumberFormat="1" applyFont="1" applyBorder="1" applyAlignment="1">
      <alignment vertical="center"/>
    </xf>
    <xf numFmtId="9" fontId="4" fillId="0" borderId="14" xfId="0" applyNumberFormat="1" applyFont="1" applyBorder="1" applyAlignment="1">
      <alignment horizontal="center" vertical="center"/>
    </xf>
    <xf numFmtId="0" fontId="111" fillId="0" borderId="12" xfId="0" applyFont="1" applyBorder="1" applyAlignment="1">
      <alignment horizontal="left" vertical="center" wrapText="1"/>
    </xf>
    <xf numFmtId="0" fontId="109" fillId="0" borderId="0" xfId="0" applyFont="1" applyAlignment="1" applyProtection="1">
      <alignment vertical="center"/>
      <protection hidden="1"/>
    </xf>
    <xf numFmtId="0" fontId="109" fillId="0" borderId="0" xfId="0" applyFont="1" applyAlignment="1">
      <alignment vertical="center"/>
    </xf>
    <xf numFmtId="0" fontId="113" fillId="0" borderId="0" xfId="0" applyFont="1" applyAlignment="1">
      <alignment vertical="center"/>
    </xf>
    <xf numFmtId="0" fontId="109" fillId="0" borderId="0" xfId="0" applyFont="1" applyAlignment="1" applyProtection="1">
      <alignment horizontal="center" vertical="center"/>
      <protection hidden="1"/>
    </xf>
    <xf numFmtId="0" fontId="109" fillId="0" borderId="67" xfId="0" applyFont="1" applyBorder="1" applyAlignment="1" applyProtection="1">
      <alignment horizontal="center" vertical="center"/>
      <protection hidden="1"/>
    </xf>
    <xf numFmtId="0" fontId="4" fillId="0" borderId="3" xfId="0" applyFont="1" applyBorder="1" applyAlignment="1" applyProtection="1">
      <alignment vertical="center" wrapText="1"/>
      <protection hidden="1"/>
    </xf>
    <xf numFmtId="0" fontId="4" fillId="0" borderId="3" xfId="0" applyFont="1" applyBorder="1" applyAlignment="1" applyProtection="1">
      <alignment horizontal="right" vertical="center"/>
      <protection hidden="1"/>
    </xf>
    <xf numFmtId="0" fontId="4" fillId="0" borderId="12" xfId="0" applyFont="1" applyBorder="1" applyAlignment="1" applyProtection="1">
      <alignment vertical="center"/>
      <protection hidden="1"/>
    </xf>
    <xf numFmtId="0" fontId="0" fillId="0" borderId="3" xfId="0" applyBorder="1" applyAlignment="1">
      <alignment horizontal="centerContinuous"/>
    </xf>
    <xf numFmtId="0" fontId="4" fillId="0" borderId="3" xfId="0" applyFont="1" applyBorder="1" applyAlignment="1" applyProtection="1">
      <alignment horizontal="centerContinuous" vertical="center"/>
      <protection hidden="1"/>
    </xf>
    <xf numFmtId="0" fontId="4" fillId="0" borderId="10" xfId="0" applyFont="1" applyBorder="1" applyAlignment="1" applyProtection="1">
      <alignment vertical="center"/>
      <protection hidden="1"/>
    </xf>
    <xf numFmtId="0" fontId="4" fillId="0" borderId="13" xfId="0" applyFont="1" applyBorder="1" applyAlignment="1" applyProtection="1">
      <alignment vertical="center"/>
      <protection hidden="1"/>
    </xf>
    <xf numFmtId="0" fontId="113" fillId="0" borderId="0" xfId="0" applyFont="1" applyAlignment="1" applyProtection="1">
      <alignment horizontal="center" vertical="center"/>
      <protection hidden="1"/>
    </xf>
    <xf numFmtId="0" fontId="113" fillId="0" borderId="67" xfId="0" applyFont="1" applyBorder="1" applyAlignment="1" applyProtection="1">
      <alignment horizontal="center" vertical="center"/>
      <protection hidden="1"/>
    </xf>
    <xf numFmtId="49" fontId="4" fillId="0" borderId="3" xfId="0" applyNumberFormat="1" applyFont="1" applyBorder="1" applyAlignment="1">
      <alignment horizontal="center" vertical="center"/>
    </xf>
    <xf numFmtId="49" fontId="4" fillId="0" borderId="5" xfId="0" applyNumberFormat="1" applyFont="1" applyBorder="1" applyAlignment="1">
      <alignment horizontal="centerContinuous" vertical="center" wrapText="1"/>
    </xf>
    <xf numFmtId="49" fontId="4" fillId="0" borderId="10" xfId="0" applyNumberFormat="1" applyFont="1" applyBorder="1" applyAlignment="1">
      <alignment horizontal="center" vertical="center" wrapText="1"/>
    </xf>
    <xf numFmtId="49" fontId="4" fillId="0" borderId="3" xfId="0" applyNumberFormat="1" applyFont="1" applyBorder="1" applyAlignment="1">
      <alignment horizontal="centerContinuous" vertical="center" wrapText="1"/>
    </xf>
    <xf numFmtId="0" fontId="4" fillId="0" borderId="3" xfId="0" applyFont="1" applyBorder="1" applyAlignment="1">
      <alignment horizontal="centerContinuous" vertical="center" wrapText="1"/>
    </xf>
    <xf numFmtId="0" fontId="4" fillId="0" borderId="2" xfId="0" applyFont="1" applyBorder="1" applyAlignment="1" applyProtection="1">
      <alignment horizontal="centerContinuous" vertical="center" wrapText="1"/>
      <protection hidden="1"/>
    </xf>
    <xf numFmtId="0" fontId="9" fillId="0" borderId="12" xfId="0" applyFont="1" applyBorder="1" applyAlignment="1" applyProtection="1">
      <alignment vertical="center"/>
      <protection hidden="1"/>
    </xf>
    <xf numFmtId="0" fontId="4" fillId="0" borderId="15" xfId="0" applyFont="1" applyBorder="1" applyAlignment="1" applyProtection="1">
      <alignment horizontal="centerContinuous" vertical="center"/>
      <protection hidden="1"/>
    </xf>
    <xf numFmtId="0" fontId="4" fillId="0" borderId="5" xfId="0" applyFont="1" applyBorder="1" applyAlignment="1" applyProtection="1">
      <alignment horizontal="centerContinuous" vertical="center" wrapText="1"/>
      <protection hidden="1"/>
    </xf>
    <xf numFmtId="0" fontId="4" fillId="0" borderId="15" xfId="0" applyFont="1" applyBorder="1" applyAlignment="1" applyProtection="1">
      <alignment horizontal="centerContinuous" vertical="center" wrapText="1"/>
      <protection hidden="1"/>
    </xf>
    <xf numFmtId="195" fontId="4" fillId="0" borderId="3" xfId="0" applyNumberFormat="1" applyFont="1" applyBorder="1" applyAlignment="1" applyProtection="1">
      <alignment horizontal="right" vertical="center"/>
      <protection hidden="1"/>
    </xf>
    <xf numFmtId="3" fontId="4" fillId="0" borderId="3" xfId="0" applyNumberFormat="1" applyFont="1" applyBorder="1" applyAlignment="1" applyProtection="1">
      <alignment horizontal="right" vertical="center"/>
      <protection hidden="1"/>
    </xf>
    <xf numFmtId="194" fontId="4" fillId="0" borderId="3" xfId="0" applyNumberFormat="1" applyFont="1" applyBorder="1" applyAlignment="1" applyProtection="1">
      <alignment horizontal="right" vertical="center"/>
      <protection hidden="1"/>
    </xf>
    <xf numFmtId="4" fontId="4" fillId="0" borderId="3" xfId="0" applyNumberFormat="1" applyFont="1" applyBorder="1" applyAlignment="1" applyProtection="1">
      <alignment horizontal="centerContinuous" vertical="center"/>
      <protection hidden="1"/>
    </xf>
    <xf numFmtId="4" fontId="4" fillId="0" borderId="10" xfId="0" applyNumberFormat="1" applyFont="1" applyBorder="1" applyAlignment="1" applyProtection="1">
      <alignment vertical="center"/>
      <protection hidden="1"/>
    </xf>
    <xf numFmtId="4" fontId="116" fillId="0" borderId="3" xfId="0" applyNumberFormat="1" applyFont="1" applyBorder="1" applyAlignment="1">
      <alignment horizontal="right"/>
    </xf>
    <xf numFmtId="4" fontId="4" fillId="0" borderId="3" xfId="0" applyNumberFormat="1" applyFont="1" applyBorder="1" applyAlignment="1" applyProtection="1">
      <alignment vertical="center"/>
      <protection hidden="1"/>
    </xf>
    <xf numFmtId="0" fontId="4" fillId="0" borderId="3" xfId="0" applyFont="1" applyBorder="1" applyAlignment="1" applyProtection="1">
      <alignment horizontal="centerContinuous" vertical="center" wrapText="1"/>
      <protection hidden="1"/>
    </xf>
    <xf numFmtId="0" fontId="116" fillId="0" borderId="3" xfId="0" applyFont="1" applyBorder="1" applyAlignment="1">
      <alignment horizontal="right"/>
    </xf>
    <xf numFmtId="0" fontId="219" fillId="0" borderId="0" xfId="0" applyFont="1"/>
    <xf numFmtId="0" fontId="217" fillId="0" borderId="0" xfId="0" applyFont="1"/>
    <xf numFmtId="0" fontId="220" fillId="0" borderId="0" xfId="0" applyFont="1"/>
    <xf numFmtId="0" fontId="221" fillId="0" borderId="0" xfId="0" applyFont="1"/>
    <xf numFmtId="0" fontId="139" fillId="0" borderId="0" xfId="0" applyFont="1"/>
    <xf numFmtId="0" fontId="129" fillId="0" borderId="0" xfId="0" applyFont="1"/>
    <xf numFmtId="0" fontId="130" fillId="0" borderId="0" xfId="0" applyFont="1"/>
    <xf numFmtId="3" fontId="4" fillId="12" borderId="8" xfId="0" applyNumberFormat="1" applyFont="1" applyFill="1" applyBorder="1" applyAlignment="1">
      <alignment horizontal="center" vertical="center"/>
    </xf>
    <xf numFmtId="3" fontId="16" fillId="12" borderId="8" xfId="0" applyNumberFormat="1" applyFont="1" applyFill="1" applyBorder="1" applyAlignment="1">
      <alignment horizontal="center" vertical="center"/>
    </xf>
    <xf numFmtId="3" fontId="222" fillId="12" borderId="8" xfId="0" applyNumberFormat="1" applyFont="1" applyFill="1" applyBorder="1" applyAlignment="1">
      <alignment horizontal="center" vertical="center"/>
    </xf>
    <xf numFmtId="0" fontId="203" fillId="12" borderId="59" xfId="0" applyFont="1" applyFill="1" applyBorder="1" applyAlignment="1" applyProtection="1">
      <alignment vertical="center"/>
      <protection locked="0"/>
    </xf>
    <xf numFmtId="0" fontId="0" fillId="10" borderId="0" xfId="0" applyFill="1"/>
    <xf numFmtId="0" fontId="128" fillId="10" borderId="0" xfId="0" applyFont="1" applyFill="1"/>
    <xf numFmtId="0" fontId="112" fillId="10" borderId="0" xfId="0" applyFont="1" applyFill="1"/>
    <xf numFmtId="192" fontId="130" fillId="0" borderId="0" xfId="0" applyNumberFormat="1" applyFont="1"/>
    <xf numFmtId="0" fontId="223" fillId="12" borderId="59" xfId="0" applyFont="1" applyFill="1" applyBorder="1" applyAlignment="1" applyProtection="1">
      <alignment vertical="center"/>
      <protection locked="0"/>
    </xf>
    <xf numFmtId="0" fontId="4" fillId="0" borderId="44" xfId="0" applyFont="1" applyBorder="1" applyAlignment="1">
      <alignment horizontal="center" vertical="center"/>
    </xf>
    <xf numFmtId="0" fontId="4" fillId="0" borderId="44" xfId="0" applyFont="1" applyBorder="1" applyAlignment="1">
      <alignment vertical="center"/>
    </xf>
    <xf numFmtId="0" fontId="4" fillId="0" borderId="13" xfId="0" applyFont="1" applyBorder="1" applyAlignment="1">
      <alignment vertical="center"/>
    </xf>
    <xf numFmtId="0" fontId="4" fillId="0" borderId="13" xfId="0" applyFont="1" applyBorder="1" applyAlignment="1">
      <alignment horizontal="center" vertical="center"/>
    </xf>
    <xf numFmtId="0" fontId="4" fillId="0" borderId="44" xfId="0" applyFont="1" applyBorder="1" applyAlignment="1" applyProtection="1">
      <alignment horizontal="center" vertical="center"/>
      <protection hidden="1"/>
    </xf>
    <xf numFmtId="0" fontId="4" fillId="0" borderId="44" xfId="0" applyFont="1" applyBorder="1" applyAlignment="1" applyProtection="1">
      <alignment vertical="center" wrapText="1"/>
      <protection hidden="1"/>
    </xf>
    <xf numFmtId="0" fontId="116" fillId="0" borderId="44" xfId="0" applyFont="1" applyBorder="1" applyAlignment="1">
      <alignment horizontal="right"/>
    </xf>
    <xf numFmtId="0" fontId="4" fillId="0" borderId="0" xfId="0" applyFont="1" applyAlignment="1" applyProtection="1">
      <alignment vertical="center" wrapText="1"/>
      <protection hidden="1"/>
    </xf>
    <xf numFmtId="0" fontId="116" fillId="0" borderId="0" xfId="0" applyFont="1" applyAlignment="1">
      <alignment horizontal="right"/>
    </xf>
    <xf numFmtId="49" fontId="4" fillId="0" borderId="12" xfId="0" applyNumberFormat="1" applyFont="1" applyBorder="1" applyAlignment="1">
      <alignment vertical="center"/>
    </xf>
    <xf numFmtId="49" fontId="4" fillId="0" borderId="10" xfId="0" applyNumberFormat="1" applyFont="1" applyBorder="1" applyAlignment="1">
      <alignment vertical="center"/>
    </xf>
    <xf numFmtId="0" fontId="224" fillId="0" borderId="0" xfId="0" applyFont="1"/>
    <xf numFmtId="0" fontId="225" fillId="0" borderId="0" xfId="0" applyFont="1"/>
    <xf numFmtId="0" fontId="226" fillId="0" borderId="0" xfId="0" applyFont="1"/>
    <xf numFmtId="3" fontId="127" fillId="12" borderId="8" xfId="0" applyNumberFormat="1" applyFont="1" applyFill="1" applyBorder="1" applyAlignment="1">
      <alignment horizontal="center" vertical="center"/>
    </xf>
    <xf numFmtId="0" fontId="226" fillId="0" borderId="0" xfId="0" quotePrefix="1" applyFont="1"/>
    <xf numFmtId="3" fontId="111" fillId="12" borderId="8" xfId="0" applyNumberFormat="1" applyFont="1" applyFill="1" applyBorder="1" applyAlignment="1">
      <alignment horizontal="center" vertical="center"/>
    </xf>
    <xf numFmtId="0" fontId="228" fillId="12" borderId="59" xfId="0" applyFont="1" applyFill="1" applyBorder="1" applyAlignment="1" applyProtection="1">
      <alignment vertical="center"/>
      <protection locked="0"/>
    </xf>
    <xf numFmtId="3" fontId="229" fillId="12" borderId="8" xfId="0" applyNumberFormat="1" applyFont="1" applyFill="1" applyBorder="1" applyAlignment="1">
      <alignment horizontal="center" vertical="center"/>
    </xf>
    <xf numFmtId="0" fontId="4" fillId="0" borderId="10" xfId="0" applyFont="1" applyBorder="1" applyAlignment="1" applyProtection="1">
      <alignment horizontal="center" vertical="center"/>
      <protection hidden="1"/>
    </xf>
    <xf numFmtId="0" fontId="4" fillId="0" borderId="10" xfId="0" applyFont="1" applyBorder="1" applyAlignment="1" applyProtection="1">
      <alignment horizontal="left" vertical="center"/>
      <protection hidden="1"/>
    </xf>
    <xf numFmtId="3" fontId="14" fillId="0" borderId="8" xfId="0" applyNumberFormat="1" applyFont="1" applyBorder="1" applyAlignment="1" applyProtection="1">
      <alignment horizontal="right" vertical="center" wrapText="1"/>
      <protection locked="0"/>
    </xf>
    <xf numFmtId="3" fontId="4" fillId="0" borderId="8" xfId="0" applyNumberFormat="1" applyFont="1" applyBorder="1" applyAlignment="1" applyProtection="1">
      <alignment horizontal="left" vertical="center" wrapText="1"/>
      <protection locked="0"/>
    </xf>
    <xf numFmtId="0" fontId="14" fillId="12" borderId="8" xfId="0" applyFont="1" applyFill="1" applyBorder="1" applyAlignment="1" applyProtection="1">
      <alignment horizontal="right" vertical="center"/>
      <protection locked="0"/>
    </xf>
    <xf numFmtId="0" fontId="4" fillId="12" borderId="8" xfId="0" applyFont="1" applyFill="1" applyBorder="1" applyAlignment="1" applyProtection="1">
      <alignment horizontal="justify" vertical="center"/>
      <protection locked="0"/>
    </xf>
    <xf numFmtId="0" fontId="4" fillId="12" borderId="8" xfId="0" applyFont="1" applyFill="1" applyBorder="1" applyAlignment="1" applyProtection="1">
      <alignment horizontal="left" vertical="center" wrapText="1"/>
      <protection locked="0"/>
    </xf>
    <xf numFmtId="0" fontId="4" fillId="0" borderId="63" xfId="0" applyFont="1" applyBorder="1" applyAlignment="1">
      <alignment horizontal="center" vertical="center"/>
    </xf>
    <xf numFmtId="0" fontId="4" fillId="0" borderId="5" xfId="0" applyFont="1" applyBorder="1" applyAlignment="1">
      <alignment horizontal="centerContinuous" vertical="center"/>
    </xf>
    <xf numFmtId="0" fontId="4" fillId="0" borderId="62" xfId="0" applyFont="1" applyBorder="1" applyAlignment="1">
      <alignment horizontal="center" vertical="center"/>
    </xf>
    <xf numFmtId="0" fontId="9" fillId="10" borderId="61" xfId="0" applyFont="1" applyFill="1" applyBorder="1" applyAlignment="1" applyProtection="1">
      <alignment horizontal="center" vertical="center"/>
      <protection hidden="1"/>
    </xf>
    <xf numFmtId="0" fontId="9" fillId="10" borderId="14" xfId="0" applyFont="1" applyFill="1" applyBorder="1" applyAlignment="1" applyProtection="1">
      <alignment horizontal="center" vertical="center"/>
      <protection hidden="1"/>
    </xf>
    <xf numFmtId="0" fontId="9" fillId="10" borderId="68" xfId="0" applyFont="1" applyFill="1" applyBorder="1" applyAlignment="1" applyProtection="1">
      <alignment vertical="center"/>
      <protection hidden="1"/>
    </xf>
    <xf numFmtId="0" fontId="4" fillId="10" borderId="72" xfId="0" applyFont="1" applyFill="1" applyBorder="1" applyAlignment="1" applyProtection="1">
      <alignment horizontal="centerContinuous" vertical="center" wrapText="1"/>
      <protection hidden="1"/>
    </xf>
    <xf numFmtId="4" fontId="4" fillId="10" borderId="14" xfId="0" applyNumberFormat="1" applyFont="1" applyFill="1" applyBorder="1" applyAlignment="1" applyProtection="1">
      <alignment horizontal="right" vertical="center" shrinkToFit="1"/>
      <protection hidden="1"/>
    </xf>
    <xf numFmtId="3" fontId="4" fillId="10" borderId="14" xfId="0" applyNumberFormat="1" applyFont="1" applyFill="1" applyBorder="1" applyAlignment="1" applyProtection="1">
      <alignment horizontal="right" vertical="center" shrinkToFit="1"/>
      <protection hidden="1"/>
    </xf>
    <xf numFmtId="0" fontId="4" fillId="10" borderId="14" xfId="0" applyFont="1" applyFill="1" applyBorder="1" applyAlignment="1" applyProtection="1">
      <alignment horizontal="center" vertical="center" shrinkToFit="1"/>
      <protection hidden="1"/>
    </xf>
    <xf numFmtId="3" fontId="9" fillId="10" borderId="7" xfId="0" applyNumberFormat="1" applyFont="1" applyFill="1" applyBorder="1" applyAlignment="1" applyProtection="1">
      <alignment horizontal="right" vertical="center" shrinkToFit="1"/>
      <protection hidden="1"/>
    </xf>
    <xf numFmtId="3" fontId="9" fillId="10" borderId="12" xfId="0" applyNumberFormat="1" applyFont="1" applyFill="1" applyBorder="1" applyAlignment="1">
      <alignment horizontal="right" vertical="center"/>
    </xf>
    <xf numFmtId="0" fontId="108" fillId="10" borderId="0" xfId="0" applyFont="1" applyFill="1" applyAlignment="1">
      <alignment horizontal="center" vertical="center"/>
    </xf>
    <xf numFmtId="0" fontId="231" fillId="10" borderId="69" xfId="0" applyFont="1" applyFill="1" applyBorder="1" applyAlignment="1">
      <alignment horizontal="justify" vertical="center"/>
    </xf>
    <xf numFmtId="0" fontId="9" fillId="10" borderId="70" xfId="0" applyFont="1" applyFill="1" applyBorder="1" applyAlignment="1" applyProtection="1">
      <alignment horizontal="center" vertical="center"/>
      <protection hidden="1"/>
    </xf>
    <xf numFmtId="0" fontId="9" fillId="10" borderId="4" xfId="0" applyFont="1" applyFill="1" applyBorder="1" applyAlignment="1" applyProtection="1">
      <alignment horizontal="center" vertical="center"/>
      <protection hidden="1"/>
    </xf>
    <xf numFmtId="0" fontId="9" fillId="10" borderId="33" xfId="0" applyFont="1" applyFill="1" applyBorder="1" applyAlignment="1" applyProtection="1">
      <alignment vertical="center"/>
      <protection hidden="1"/>
    </xf>
    <xf numFmtId="0" fontId="232" fillId="10" borderId="31" xfId="0" applyFont="1" applyFill="1" applyBorder="1" applyAlignment="1" applyProtection="1">
      <alignment horizontal="center" vertical="center" wrapText="1" shrinkToFit="1"/>
      <protection hidden="1"/>
    </xf>
    <xf numFmtId="4" fontId="232" fillId="10" borderId="4" xfId="0" applyNumberFormat="1" applyFont="1" applyFill="1" applyBorder="1" applyAlignment="1" applyProtection="1">
      <alignment horizontal="right" vertical="center" shrinkToFit="1"/>
      <protection hidden="1"/>
    </xf>
    <xf numFmtId="3" fontId="232" fillId="10" borderId="4" xfId="0" applyNumberFormat="1" applyFont="1" applyFill="1" applyBorder="1" applyAlignment="1" applyProtection="1">
      <alignment horizontal="right" vertical="center" shrinkToFit="1"/>
      <protection hidden="1"/>
    </xf>
    <xf numFmtId="0" fontId="232" fillId="10" borderId="4" xfId="0" applyFont="1" applyFill="1" applyBorder="1" applyAlignment="1" applyProtection="1">
      <alignment horizontal="center" vertical="center" shrinkToFit="1"/>
      <protection hidden="1"/>
    </xf>
    <xf numFmtId="3" fontId="9" fillId="10" borderId="4" xfId="0" applyNumberFormat="1" applyFont="1" applyFill="1" applyBorder="1" applyAlignment="1" applyProtection="1">
      <alignment horizontal="right" vertical="center" shrinkToFit="1"/>
      <protection hidden="1"/>
    </xf>
    <xf numFmtId="0" fontId="9" fillId="10" borderId="4" xfId="0" applyFont="1" applyFill="1" applyBorder="1" applyAlignment="1" applyProtection="1">
      <alignment horizontal="center" vertical="center" shrinkToFit="1"/>
      <protection hidden="1"/>
    </xf>
    <xf numFmtId="0" fontId="231" fillId="10" borderId="71" xfId="0" applyFont="1" applyFill="1" applyBorder="1" applyAlignment="1">
      <alignment horizontal="justify" vertical="center"/>
    </xf>
    <xf numFmtId="0" fontId="233" fillId="12" borderId="8" xfId="0" applyFont="1" applyFill="1" applyBorder="1" applyAlignment="1" applyProtection="1">
      <alignment horizontal="center" vertical="center"/>
      <protection locked="0"/>
    </xf>
    <xf numFmtId="0" fontId="233" fillId="12" borderId="59" xfId="0" applyFont="1" applyFill="1" applyBorder="1" applyAlignment="1" applyProtection="1">
      <alignment horizontal="justify" vertical="center"/>
      <protection locked="0"/>
    </xf>
    <xf numFmtId="0" fontId="4" fillId="12" borderId="60" xfId="0" applyFont="1" applyFill="1" applyBorder="1" applyAlignment="1" applyProtection="1">
      <alignment horizontal="center" vertical="center"/>
      <protection locked="0"/>
    </xf>
    <xf numFmtId="0" fontId="4" fillId="10" borderId="8" xfId="0" applyFont="1" applyFill="1" applyBorder="1" applyAlignment="1" applyProtection="1">
      <alignment horizontal="center" vertical="center"/>
      <protection locked="0"/>
    </xf>
    <xf numFmtId="0" fontId="4" fillId="12" borderId="34" xfId="0" applyFont="1" applyFill="1" applyBorder="1" applyAlignment="1" applyProtection="1">
      <alignment horizontal="justify" vertical="center" wrapText="1"/>
      <protection locked="0"/>
    </xf>
    <xf numFmtId="4" fontId="4" fillId="12" borderId="8" xfId="0" applyNumberFormat="1" applyFont="1" applyFill="1" applyBorder="1" applyAlignment="1" applyProtection="1">
      <alignment horizontal="right" vertical="center"/>
      <protection locked="0"/>
    </xf>
    <xf numFmtId="3" fontId="4" fillId="12" borderId="8" xfId="0" applyNumberFormat="1" applyFont="1" applyFill="1" applyBorder="1" applyAlignment="1" applyProtection="1">
      <alignment horizontal="right" vertical="center"/>
      <protection locked="0"/>
    </xf>
    <xf numFmtId="0" fontId="4" fillId="12" borderId="8" xfId="0" applyFont="1" applyFill="1" applyBorder="1" applyAlignment="1" applyProtection="1">
      <alignment horizontal="center" vertical="center"/>
      <protection locked="0"/>
    </xf>
    <xf numFmtId="3" fontId="4" fillId="12" borderId="8" xfId="0" applyNumberFormat="1" applyFont="1" applyFill="1" applyBorder="1" applyAlignment="1" applyProtection="1">
      <alignment horizontal="right" vertical="center" shrinkToFit="1"/>
      <protection locked="0"/>
    </xf>
    <xf numFmtId="0" fontId="4" fillId="12" borderId="59" xfId="0" applyFont="1" applyFill="1" applyBorder="1" applyAlignment="1" applyProtection="1">
      <alignment horizontal="justify" vertical="center"/>
      <protection locked="0"/>
    </xf>
    <xf numFmtId="0" fontId="14" fillId="12" borderId="8" xfId="0" applyFont="1" applyFill="1" applyBorder="1" applyAlignment="1" applyProtection="1">
      <alignment horizontal="right" wrapText="1"/>
      <protection locked="0"/>
    </xf>
    <xf numFmtId="0" fontId="4" fillId="12" borderId="34" xfId="0" applyFont="1" applyFill="1" applyBorder="1" applyAlignment="1" applyProtection="1">
      <alignment horizontal="centerContinuous" vertical="center" wrapText="1"/>
      <protection locked="0"/>
    </xf>
    <xf numFmtId="0" fontId="234" fillId="12" borderId="8" xfId="0" applyFont="1" applyFill="1" applyBorder="1" applyAlignment="1" applyProtection="1">
      <alignment horizontal="center" vertical="center"/>
      <protection locked="0"/>
    </xf>
    <xf numFmtId="0" fontId="14" fillId="12" borderId="8" xfId="0" applyFont="1" applyFill="1" applyBorder="1" applyAlignment="1" applyProtection="1">
      <alignment horizontal="right" vertical="center" wrapText="1"/>
      <protection locked="0"/>
    </xf>
    <xf numFmtId="0" fontId="234" fillId="12" borderId="59" xfId="0" applyFont="1" applyFill="1" applyBorder="1" applyAlignment="1" applyProtection="1">
      <alignment horizontal="justify" vertical="center"/>
      <protection locked="0"/>
    </xf>
    <xf numFmtId="0" fontId="233" fillId="12" borderId="14" xfId="0" applyFont="1" applyFill="1" applyBorder="1" applyAlignment="1" applyProtection="1">
      <alignment horizontal="center" vertical="center"/>
      <protection locked="0"/>
    </xf>
    <xf numFmtId="0" fontId="233" fillId="12" borderId="69" xfId="0" applyFont="1" applyFill="1" applyBorder="1" applyAlignment="1" applyProtection="1">
      <alignment horizontal="justify" vertical="center"/>
      <protection locked="0"/>
    </xf>
    <xf numFmtId="0" fontId="4" fillId="12" borderId="34" xfId="0" applyFont="1" applyFill="1" applyBorder="1" applyAlignment="1" applyProtection="1">
      <alignment horizontal="center" vertical="center" wrapText="1"/>
      <protection locked="0"/>
    </xf>
    <xf numFmtId="0" fontId="14" fillId="12" borderId="36" xfId="0" applyFont="1" applyFill="1" applyBorder="1" applyAlignment="1" applyProtection="1">
      <alignment horizontal="right" wrapText="1"/>
      <protection locked="0"/>
    </xf>
    <xf numFmtId="0" fontId="4" fillId="12" borderId="36" xfId="0" applyFont="1" applyFill="1" applyBorder="1" applyAlignment="1" applyProtection="1">
      <alignment horizontal="justify" vertical="center"/>
      <protection locked="0"/>
    </xf>
    <xf numFmtId="0" fontId="4" fillId="12" borderId="14" xfId="0" applyFont="1" applyFill="1" applyBorder="1" applyAlignment="1" applyProtection="1">
      <alignment horizontal="center" vertical="center"/>
      <protection locked="0"/>
    </xf>
    <xf numFmtId="4" fontId="4" fillId="12" borderId="11" xfId="0" applyNumberFormat="1" applyFont="1" applyFill="1" applyBorder="1" applyAlignment="1" applyProtection="1">
      <alignment horizontal="right" vertical="center"/>
      <protection locked="0"/>
    </xf>
    <xf numFmtId="3" fontId="4" fillId="12" borderId="11" xfId="0" applyNumberFormat="1" applyFont="1" applyFill="1" applyBorder="1" applyAlignment="1" applyProtection="1">
      <alignment horizontal="right" vertical="center"/>
      <protection locked="0"/>
    </xf>
    <xf numFmtId="0" fontId="4" fillId="12" borderId="11" xfId="0" applyFont="1" applyFill="1" applyBorder="1" applyAlignment="1" applyProtection="1">
      <alignment horizontal="center" vertical="center"/>
      <protection locked="0"/>
    </xf>
    <xf numFmtId="3" fontId="4" fillId="12" borderId="11" xfId="0" applyNumberFormat="1" applyFont="1" applyFill="1" applyBorder="1" applyAlignment="1" applyProtection="1">
      <alignment horizontal="right" vertical="center" shrinkToFit="1"/>
      <protection locked="0"/>
    </xf>
    <xf numFmtId="0" fontId="4" fillId="12" borderId="61" xfId="0" applyFont="1" applyFill="1" applyBorder="1" applyAlignment="1" applyProtection="1">
      <alignment horizontal="center" vertical="center"/>
      <protection locked="0"/>
    </xf>
    <xf numFmtId="0" fontId="4" fillId="12" borderId="68" xfId="0" applyFont="1" applyFill="1" applyBorder="1" applyAlignment="1" applyProtection="1">
      <alignment horizontal="justify" vertical="center"/>
      <protection locked="0"/>
    </xf>
    <xf numFmtId="0" fontId="4" fillId="12" borderId="72" xfId="0" applyFont="1" applyFill="1" applyBorder="1" applyAlignment="1" applyProtection="1">
      <alignment horizontal="justify" vertical="center" wrapText="1"/>
      <protection locked="0"/>
    </xf>
    <xf numFmtId="4" fontId="4" fillId="12" borderId="7" xfId="0" applyNumberFormat="1" applyFont="1" applyFill="1" applyBorder="1" applyAlignment="1" applyProtection="1">
      <alignment horizontal="right" vertical="center"/>
      <protection locked="0"/>
    </xf>
    <xf numFmtId="3" fontId="4" fillId="12" borderId="7" xfId="0" applyNumberFormat="1" applyFont="1" applyFill="1" applyBorder="1" applyAlignment="1" applyProtection="1">
      <alignment horizontal="right" vertical="center"/>
      <protection locked="0"/>
    </xf>
    <xf numFmtId="0" fontId="4" fillId="12" borderId="7" xfId="0" applyFont="1" applyFill="1" applyBorder="1" applyAlignment="1" applyProtection="1">
      <alignment horizontal="center" vertical="center"/>
      <protection locked="0"/>
    </xf>
    <xf numFmtId="3" fontId="4" fillId="12" borderId="7" xfId="0" applyNumberFormat="1" applyFont="1" applyFill="1" applyBorder="1" applyAlignment="1" applyProtection="1">
      <alignment horizontal="right" vertical="center" shrinkToFit="1"/>
      <protection locked="0"/>
    </xf>
    <xf numFmtId="3" fontId="4" fillId="12" borderId="14" xfId="0" applyNumberFormat="1" applyFont="1" applyFill="1" applyBorder="1" applyAlignment="1" applyProtection="1">
      <alignment horizontal="right" vertical="center"/>
      <protection locked="0"/>
    </xf>
    <xf numFmtId="0" fontId="4" fillId="12" borderId="69" xfId="0" applyFont="1" applyFill="1" applyBorder="1" applyAlignment="1" applyProtection="1">
      <alignment horizontal="justify" vertical="center"/>
      <protection locked="0"/>
    </xf>
    <xf numFmtId="4" fontId="4" fillId="10" borderId="4" xfId="0" applyNumberFormat="1" applyFont="1" applyFill="1" applyBorder="1" applyAlignment="1" applyProtection="1">
      <alignment horizontal="right" vertical="center" shrinkToFit="1"/>
      <protection hidden="1"/>
    </xf>
    <xf numFmtId="3" fontId="4" fillId="10" borderId="4" xfId="0" applyNumberFormat="1" applyFont="1" applyFill="1" applyBorder="1" applyAlignment="1" applyProtection="1">
      <alignment horizontal="right" vertical="center" shrinkToFit="1"/>
      <protection hidden="1"/>
    </xf>
    <xf numFmtId="0" fontId="4" fillId="10" borderId="4" xfId="0" applyFont="1" applyFill="1" applyBorder="1" applyAlignment="1" applyProtection="1">
      <alignment horizontal="center" vertical="center" shrinkToFit="1"/>
      <protection hidden="1"/>
    </xf>
    <xf numFmtId="0" fontId="4" fillId="12" borderId="8" xfId="0" applyFont="1" applyFill="1" applyBorder="1" applyAlignment="1" applyProtection="1">
      <alignment horizontal="centerContinuous" vertical="center" wrapText="1"/>
      <protection locked="0"/>
    </xf>
    <xf numFmtId="3" fontId="4" fillId="12" borderId="11" xfId="0" applyNumberFormat="1" applyFont="1" applyFill="1" applyBorder="1" applyAlignment="1" applyProtection="1">
      <alignment horizontal="right" vertical="center" shrinkToFit="1"/>
      <protection hidden="1"/>
    </xf>
    <xf numFmtId="0" fontId="203" fillId="12" borderId="59" xfId="0" applyFont="1" applyFill="1" applyBorder="1" applyAlignment="1" applyProtection="1">
      <alignment horizontal="justify" vertical="center"/>
      <protection locked="0"/>
    </xf>
    <xf numFmtId="0" fontId="14" fillId="0" borderId="14" xfId="0" applyFont="1" applyBorder="1" applyAlignment="1" applyProtection="1">
      <alignment horizontal="right" vertical="center"/>
      <protection hidden="1"/>
    </xf>
    <xf numFmtId="0" fontId="14" fillId="0" borderId="36" xfId="0" applyFont="1" applyBorder="1" applyAlignment="1" applyProtection="1">
      <alignment horizontal="right" wrapText="1"/>
      <protection hidden="1"/>
    </xf>
    <xf numFmtId="3" fontId="14" fillId="0" borderId="34" xfId="0" applyNumberFormat="1" applyFont="1" applyBorder="1" applyAlignment="1" applyProtection="1">
      <alignment horizontal="right" vertical="center" wrapText="1" shrinkToFit="1"/>
      <protection hidden="1"/>
    </xf>
    <xf numFmtId="4" fontId="14" fillId="0" borderId="11" xfId="0" applyNumberFormat="1" applyFont="1" applyBorder="1" applyAlignment="1" applyProtection="1">
      <alignment horizontal="right" vertical="center" shrinkToFit="1"/>
      <protection hidden="1"/>
    </xf>
    <xf numFmtId="3" fontId="14" fillId="0" borderId="11" xfId="0" applyNumberFormat="1" applyFont="1" applyBorder="1" applyAlignment="1" applyProtection="1">
      <alignment horizontal="right" vertical="center" shrinkToFit="1"/>
      <protection hidden="1"/>
    </xf>
    <xf numFmtId="0" fontId="14" fillId="0" borderId="11" xfId="0" applyFont="1" applyBorder="1" applyAlignment="1" applyProtection="1">
      <alignment horizontal="right" vertical="center" shrinkToFit="1"/>
      <protection hidden="1"/>
    </xf>
    <xf numFmtId="3" fontId="14" fillId="0" borderId="8" xfId="0" applyNumberFormat="1" applyFont="1" applyBorder="1" applyAlignment="1" applyProtection="1">
      <alignment horizontal="right" vertical="center" shrinkToFit="1"/>
      <protection hidden="1"/>
    </xf>
    <xf numFmtId="0" fontId="14" fillId="0" borderId="8" xfId="0" applyFont="1" applyBorder="1" applyAlignment="1" applyProtection="1">
      <alignment horizontal="right" vertical="center" shrinkToFit="1"/>
      <protection hidden="1"/>
    </xf>
    <xf numFmtId="0" fontId="235" fillId="0" borderId="59" xfId="0" applyFont="1" applyBorder="1" applyAlignment="1">
      <alignment horizontal="right" vertical="center"/>
    </xf>
    <xf numFmtId="9" fontId="14" fillId="0" borderId="11" xfId="9" applyFont="1" applyBorder="1" applyAlignment="1" applyProtection="1">
      <alignment horizontal="right" vertical="center" shrinkToFit="1"/>
      <protection hidden="1"/>
    </xf>
    <xf numFmtId="0" fontId="14" fillId="0" borderId="36" xfId="0" applyFont="1" applyBorder="1" applyAlignment="1" applyProtection="1">
      <alignment horizontal="right" vertical="center"/>
      <protection hidden="1"/>
    </xf>
    <xf numFmtId="0" fontId="131" fillId="0" borderId="8" xfId="0" applyFont="1" applyBorder="1" applyAlignment="1" applyProtection="1">
      <alignment horizontal="right" vertical="center" shrinkToFit="1"/>
      <protection hidden="1"/>
    </xf>
    <xf numFmtId="0" fontId="236" fillId="0" borderId="59" xfId="0" applyFont="1" applyBorder="1" applyAlignment="1">
      <alignment horizontal="right" vertical="center"/>
    </xf>
    <xf numFmtId="0" fontId="4" fillId="10" borderId="61" xfId="0" applyFont="1" applyFill="1" applyBorder="1" applyAlignment="1" applyProtection="1">
      <alignment horizontal="center" vertical="center"/>
      <protection hidden="1"/>
    </xf>
    <xf numFmtId="0" fontId="4" fillId="10" borderId="36" xfId="0" applyFont="1" applyFill="1" applyBorder="1" applyAlignment="1" applyProtection="1">
      <alignment vertical="center" wrapText="1"/>
      <protection hidden="1"/>
    </xf>
    <xf numFmtId="4" fontId="4" fillId="10" borderId="11" xfId="0" applyNumberFormat="1" applyFont="1" applyFill="1" applyBorder="1" applyAlignment="1" applyProtection="1">
      <alignment horizontal="right" vertical="center" shrinkToFit="1"/>
      <protection hidden="1"/>
    </xf>
    <xf numFmtId="3" fontId="4" fillId="10" borderId="11" xfId="0" applyNumberFormat="1" applyFont="1" applyFill="1" applyBorder="1" applyAlignment="1" applyProtection="1">
      <alignment horizontal="right" vertical="center" shrinkToFit="1"/>
      <protection hidden="1"/>
    </xf>
    <xf numFmtId="0" fontId="4" fillId="10" borderId="11" xfId="0" applyFont="1" applyFill="1" applyBorder="1" applyAlignment="1" applyProtection="1">
      <alignment horizontal="center" vertical="center" shrinkToFit="1"/>
      <protection hidden="1"/>
    </xf>
    <xf numFmtId="3" fontId="9" fillId="10" borderId="11" xfId="0" applyNumberFormat="1" applyFont="1" applyFill="1" applyBorder="1" applyAlignment="1" applyProtection="1">
      <alignment horizontal="right" vertical="center" shrinkToFit="1"/>
      <protection hidden="1"/>
    </xf>
    <xf numFmtId="3" fontId="9" fillId="10" borderId="8" xfId="0" applyNumberFormat="1" applyFont="1" applyFill="1" applyBorder="1" applyAlignment="1" applyProtection="1">
      <alignment horizontal="right" vertical="center" shrinkToFit="1"/>
      <protection hidden="1"/>
    </xf>
    <xf numFmtId="0" fontId="4" fillId="10" borderId="8" xfId="0" applyFont="1" applyFill="1" applyBorder="1" applyAlignment="1" applyProtection="1">
      <alignment horizontal="center" vertical="center" shrinkToFit="1"/>
      <protection hidden="1"/>
    </xf>
    <xf numFmtId="0" fontId="4" fillId="10" borderId="59" xfId="0" applyFont="1" applyFill="1" applyBorder="1" applyAlignment="1" applyProtection="1">
      <alignment horizontal="justify" vertical="center" shrinkToFit="1"/>
      <protection hidden="1"/>
    </xf>
    <xf numFmtId="0" fontId="4" fillId="10" borderId="34" xfId="0" applyFont="1" applyFill="1" applyBorder="1" applyAlignment="1" applyProtection="1">
      <alignment horizontal="centerContinuous" vertical="center" wrapText="1" shrinkToFit="1"/>
      <protection hidden="1"/>
    </xf>
    <xf numFmtId="0" fontId="14" fillId="0" borderId="6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4" fillId="0" borderId="11" xfId="0" applyFont="1" applyBorder="1" applyAlignment="1" applyProtection="1">
      <alignment horizontal="center" vertical="center" shrinkToFit="1"/>
      <protection hidden="1"/>
    </xf>
    <xf numFmtId="3" fontId="16" fillId="0" borderId="11" xfId="0" applyNumberFormat="1" applyFont="1" applyBorder="1" applyAlignment="1" applyProtection="1">
      <alignment horizontal="right" vertical="center" shrinkToFit="1"/>
      <protection hidden="1"/>
    </xf>
    <xf numFmtId="3" fontId="16" fillId="0" borderId="8" xfId="0" applyNumberFormat="1" applyFont="1" applyBorder="1" applyAlignment="1" applyProtection="1">
      <alignment horizontal="right" vertical="center" shrinkToFit="1"/>
      <protection hidden="1"/>
    </xf>
    <xf numFmtId="0" fontId="14" fillId="0" borderId="8" xfId="0" applyFont="1" applyBorder="1" applyAlignment="1" applyProtection="1">
      <alignment horizontal="center" vertical="center" shrinkToFit="1"/>
      <protection hidden="1"/>
    </xf>
    <xf numFmtId="0" fontId="14" fillId="0" borderId="59" xfId="0" applyFont="1" applyBorder="1" applyAlignment="1" applyProtection="1">
      <alignment horizontal="justify" vertical="center" shrinkToFit="1"/>
      <protection hidden="1"/>
    </xf>
    <xf numFmtId="0" fontId="4" fillId="0" borderId="61" xfId="0" applyFont="1" applyBorder="1" applyAlignment="1" applyProtection="1">
      <alignment horizontal="center" vertical="center"/>
      <protection hidden="1"/>
    </xf>
    <xf numFmtId="0" fontId="9" fillId="0" borderId="14" xfId="0" applyFont="1" applyBorder="1" applyAlignment="1" applyProtection="1">
      <alignment horizontal="center" vertical="center"/>
      <protection hidden="1"/>
    </xf>
    <xf numFmtId="9" fontId="4" fillId="0" borderId="34" xfId="9" applyFont="1" applyFill="1" applyBorder="1" applyAlignment="1" applyProtection="1">
      <alignment horizontal="centerContinuous" vertical="center" wrapText="1" shrinkToFit="1"/>
      <protection hidden="1"/>
    </xf>
    <xf numFmtId="4" fontId="4" fillId="0" borderId="11" xfId="0" applyNumberFormat="1" applyFont="1" applyBorder="1" applyAlignment="1" applyProtection="1">
      <alignment horizontal="right" vertical="center" shrinkToFit="1"/>
      <protection hidden="1"/>
    </xf>
    <xf numFmtId="3" fontId="4" fillId="0" borderId="11" xfId="0" applyNumberFormat="1" applyFont="1" applyBorder="1" applyAlignment="1" applyProtection="1">
      <alignment horizontal="right" vertical="center" shrinkToFit="1"/>
      <protection hidden="1"/>
    </xf>
    <xf numFmtId="0" fontId="4" fillId="0" borderId="11" xfId="0" applyFont="1" applyBorder="1" applyAlignment="1" applyProtection="1">
      <alignment horizontal="center" vertical="center" shrinkToFit="1"/>
      <protection hidden="1"/>
    </xf>
    <xf numFmtId="3" fontId="9" fillId="0" borderId="11" xfId="0" applyNumberFormat="1" applyFont="1" applyBorder="1" applyAlignment="1" applyProtection="1">
      <alignment horizontal="right" vertical="center" shrinkToFit="1"/>
      <protection hidden="1"/>
    </xf>
    <xf numFmtId="3" fontId="9" fillId="0" borderId="8" xfId="0" applyNumberFormat="1" applyFont="1" applyBorder="1" applyAlignment="1" applyProtection="1">
      <alignment horizontal="right" vertical="center" shrinkToFit="1"/>
      <protection hidden="1"/>
    </xf>
    <xf numFmtId="0" fontId="4" fillId="0" borderId="8" xfId="0" applyFont="1" applyBorder="1" applyAlignment="1" applyProtection="1">
      <alignment horizontal="center" vertical="center" shrinkToFit="1"/>
      <protection hidden="1"/>
    </xf>
    <xf numFmtId="0" fontId="4" fillId="0" borderId="59" xfId="0" applyFont="1" applyBorder="1" applyAlignment="1" applyProtection="1">
      <alignment horizontal="justify" vertical="center" shrinkToFit="1"/>
      <protection hidden="1"/>
    </xf>
    <xf numFmtId="0" fontId="4" fillId="0" borderId="72" xfId="0" applyFont="1" applyBorder="1" applyAlignment="1" applyProtection="1">
      <alignment horizontal="centerContinuous" vertical="center" wrapText="1" shrinkToFit="1"/>
      <protection hidden="1"/>
    </xf>
    <xf numFmtId="0" fontId="4" fillId="0" borderId="14" xfId="0" applyFont="1" applyBorder="1" applyAlignment="1" applyProtection="1">
      <alignment horizontal="center" vertical="center" shrinkToFit="1"/>
      <protection hidden="1"/>
    </xf>
    <xf numFmtId="0" fontId="4" fillId="0" borderId="69" xfId="0" applyFont="1" applyBorder="1" applyAlignment="1" applyProtection="1">
      <alignment horizontal="justify" vertical="center" shrinkToFit="1"/>
      <protection hidden="1"/>
    </xf>
    <xf numFmtId="0" fontId="4" fillId="10" borderId="68" xfId="0" applyFont="1" applyFill="1" applyBorder="1" applyAlignment="1" applyProtection="1">
      <alignment vertical="center" wrapText="1"/>
      <protection hidden="1"/>
    </xf>
    <xf numFmtId="4" fontId="4" fillId="10" borderId="8" xfId="0" applyNumberFormat="1" applyFont="1" applyFill="1" applyBorder="1" applyAlignment="1" applyProtection="1">
      <alignment horizontal="right" vertical="center" shrinkToFit="1"/>
      <protection hidden="1"/>
    </xf>
    <xf numFmtId="3" fontId="4" fillId="10" borderId="8" xfId="0" applyNumberFormat="1" applyFont="1" applyFill="1" applyBorder="1" applyAlignment="1" applyProtection="1">
      <alignment horizontal="right" vertical="center" shrinkToFit="1"/>
      <protection hidden="1"/>
    </xf>
    <xf numFmtId="0" fontId="4" fillId="10" borderId="69" xfId="0" applyFont="1" applyFill="1" applyBorder="1" applyAlignment="1" applyProtection="1">
      <alignment horizontal="justify" vertical="center" shrinkToFit="1"/>
      <protection hidden="1"/>
    </xf>
    <xf numFmtId="3" fontId="14" fillId="0" borderId="34" xfId="0" applyNumberFormat="1" applyFont="1" applyBorder="1" applyAlignment="1" applyProtection="1">
      <alignment horizontal="centerContinuous" vertical="center" wrapText="1" shrinkToFit="1"/>
      <protection hidden="1"/>
    </xf>
    <xf numFmtId="9" fontId="4" fillId="0" borderId="34" xfId="0" applyNumberFormat="1" applyFont="1" applyBorder="1" applyAlignment="1" applyProtection="1">
      <alignment horizontal="centerContinuous" vertical="center" wrapText="1" shrinkToFit="1"/>
      <protection hidden="1"/>
    </xf>
    <xf numFmtId="0" fontId="14" fillId="0" borderId="68" xfId="0" applyFont="1" applyBorder="1" applyAlignment="1" applyProtection="1">
      <alignment horizontal="right" vertical="center"/>
      <protection hidden="1"/>
    </xf>
    <xf numFmtId="4" fontId="4" fillId="0" borderId="7" xfId="0" applyNumberFormat="1" applyFont="1" applyBorder="1" applyAlignment="1" applyProtection="1">
      <alignment horizontal="right" vertical="center" shrinkToFit="1"/>
      <protection hidden="1"/>
    </xf>
    <xf numFmtId="3" fontId="4" fillId="0" borderId="7" xfId="0" applyNumberFormat="1" applyFont="1" applyBorder="1" applyAlignment="1" applyProtection="1">
      <alignment horizontal="right" vertical="center" shrinkToFit="1"/>
      <protection hidden="1"/>
    </xf>
    <xf numFmtId="0" fontId="4" fillId="0" borderId="7" xfId="0" applyFont="1" applyBorder="1" applyAlignment="1" applyProtection="1">
      <alignment horizontal="center" vertical="center" shrinkToFit="1"/>
      <protection hidden="1"/>
    </xf>
    <xf numFmtId="3" fontId="9" fillId="0" borderId="7" xfId="0" applyNumberFormat="1" applyFont="1" applyBorder="1" applyAlignment="1" applyProtection="1">
      <alignment horizontal="right" vertical="center" shrinkToFit="1"/>
      <protection hidden="1"/>
    </xf>
    <xf numFmtId="3" fontId="9" fillId="0" borderId="14" xfId="0" applyNumberFormat="1" applyFont="1" applyBorder="1" applyAlignment="1" applyProtection="1">
      <alignment horizontal="right" vertical="center" shrinkToFit="1"/>
      <protection hidden="1"/>
    </xf>
    <xf numFmtId="0" fontId="4" fillId="0" borderId="6" xfId="0" applyFont="1" applyBorder="1" applyAlignment="1" applyProtection="1">
      <alignment horizontal="center" vertical="center"/>
      <protection hidden="1"/>
    </xf>
    <xf numFmtId="0" fontId="9" fillId="0" borderId="7" xfId="0" applyFont="1" applyBorder="1" applyAlignment="1" applyProtection="1">
      <alignment horizontal="center" vertical="center"/>
      <protection hidden="1"/>
    </xf>
    <xf numFmtId="0" fontId="4" fillId="0" borderId="73" xfId="0" applyFont="1" applyBorder="1" applyAlignment="1" applyProtection="1">
      <alignment horizontal="justify" vertical="center" shrinkToFit="1"/>
      <protection hidden="1"/>
    </xf>
    <xf numFmtId="0" fontId="9" fillId="10" borderId="33" xfId="0" applyFont="1" applyFill="1" applyBorder="1" applyAlignment="1" applyProtection="1">
      <alignment horizontal="left" vertical="center"/>
      <protection hidden="1"/>
    </xf>
    <xf numFmtId="0" fontId="14" fillId="12" borderId="60" xfId="0" applyFont="1" applyFill="1" applyBorder="1" applyAlignment="1" applyProtection="1">
      <alignment horizontal="center" vertical="center"/>
      <protection locked="0"/>
    </xf>
    <xf numFmtId="0" fontId="14" fillId="12" borderId="8" xfId="0" applyFont="1" applyFill="1" applyBorder="1" applyAlignment="1" applyProtection="1">
      <alignment horizontal="center" vertical="center"/>
      <protection locked="0"/>
    </xf>
    <xf numFmtId="3" fontId="14" fillId="12" borderId="34" xfId="0" applyNumberFormat="1" applyFont="1" applyFill="1" applyBorder="1" applyAlignment="1" applyProtection="1">
      <alignment horizontal="right" vertical="center" wrapText="1"/>
      <protection locked="0"/>
    </xf>
    <xf numFmtId="4" fontId="14" fillId="12" borderId="11" xfId="0" applyNumberFormat="1" applyFont="1" applyFill="1" applyBorder="1" applyAlignment="1" applyProtection="1">
      <alignment horizontal="right" vertical="center"/>
      <protection locked="0"/>
    </xf>
    <xf numFmtId="3" fontId="14" fillId="12" borderId="11" xfId="0" applyNumberFormat="1" applyFont="1" applyFill="1" applyBorder="1" applyAlignment="1" applyProtection="1">
      <alignment horizontal="right" vertical="center"/>
      <protection locked="0"/>
    </xf>
    <xf numFmtId="0" fontId="14" fillId="12" borderId="11" xfId="0" applyFont="1" applyFill="1" applyBorder="1" applyAlignment="1" applyProtection="1">
      <alignment horizontal="center" vertical="center"/>
      <protection locked="0"/>
    </xf>
    <xf numFmtId="3" fontId="14" fillId="12" borderId="11" xfId="0" applyNumberFormat="1" applyFont="1" applyFill="1" applyBorder="1" applyAlignment="1" applyProtection="1">
      <alignment horizontal="right" vertical="center" shrinkToFit="1"/>
      <protection hidden="1"/>
    </xf>
    <xf numFmtId="3" fontId="14" fillId="12" borderId="8" xfId="0" applyNumberFormat="1" applyFont="1" applyFill="1" applyBorder="1" applyAlignment="1" applyProtection="1">
      <alignment horizontal="right" vertical="center"/>
      <protection locked="0"/>
    </xf>
    <xf numFmtId="0" fontId="223" fillId="12" borderId="59" xfId="0" applyFont="1" applyFill="1" applyBorder="1" applyAlignment="1" applyProtection="1">
      <alignment horizontal="justify" vertical="center"/>
      <protection locked="0"/>
    </xf>
    <xf numFmtId="0" fontId="236" fillId="12" borderId="59" xfId="0" applyFont="1" applyFill="1" applyBorder="1" applyAlignment="1" applyProtection="1">
      <alignment horizontal="justify" vertical="center"/>
      <protection locked="0"/>
    </xf>
    <xf numFmtId="0" fontId="237" fillId="12" borderId="59" xfId="0" applyFont="1" applyFill="1" applyBorder="1" applyAlignment="1" applyProtection="1">
      <alignment horizontal="justify" vertical="center"/>
      <protection locked="0"/>
    </xf>
    <xf numFmtId="0" fontId="238" fillId="12" borderId="59" xfId="0" applyFont="1" applyFill="1" applyBorder="1" applyAlignment="1" applyProtection="1">
      <alignment horizontal="justify" vertical="center"/>
      <protection locked="0"/>
    </xf>
    <xf numFmtId="0" fontId="239" fillId="12" borderId="8" xfId="0" applyFont="1" applyFill="1" applyBorder="1" applyAlignment="1" applyProtection="1">
      <alignment horizontal="center" vertical="center"/>
      <protection locked="0"/>
    </xf>
    <xf numFmtId="0" fontId="228" fillId="12" borderId="59" xfId="0" applyFont="1" applyFill="1" applyBorder="1" applyAlignment="1" applyProtection="1">
      <alignment horizontal="justify" vertical="center"/>
      <protection locked="0"/>
    </xf>
    <xf numFmtId="9" fontId="4" fillId="12" borderId="34" xfId="9" applyFont="1" applyFill="1" applyBorder="1" applyAlignment="1" applyProtection="1">
      <alignment horizontal="right" vertical="center"/>
      <protection locked="0"/>
    </xf>
    <xf numFmtId="0" fontId="4" fillId="12" borderId="8" xfId="0" applyFont="1" applyFill="1" applyBorder="1" applyAlignment="1" applyProtection="1">
      <alignment horizontal="justify" vertical="center"/>
      <protection hidden="1"/>
    </xf>
    <xf numFmtId="0" fontId="14" fillId="12" borderId="8" xfId="0" applyFont="1" applyFill="1" applyBorder="1" applyAlignment="1" applyProtection="1">
      <alignment horizontal="justify" vertical="center"/>
      <protection hidden="1"/>
    </xf>
    <xf numFmtId="0" fontId="14" fillId="12" borderId="8" xfId="0" applyFont="1" applyFill="1" applyBorder="1" applyAlignment="1" applyProtection="1">
      <alignment horizontal="right" vertical="center" wrapText="1"/>
      <protection hidden="1"/>
    </xf>
    <xf numFmtId="0" fontId="233" fillId="0" borderId="8" xfId="0" applyFont="1" applyBorder="1" applyAlignment="1" applyProtection="1">
      <alignment horizontal="center" vertical="center" shrinkToFit="1"/>
      <protection hidden="1"/>
    </xf>
    <xf numFmtId="0" fontId="240" fillId="0" borderId="59" xfId="0" applyFont="1" applyBorder="1" applyAlignment="1">
      <alignment horizontal="justify" vertical="center"/>
    </xf>
    <xf numFmtId="0" fontId="4" fillId="12" borderId="34" xfId="0" applyFont="1" applyFill="1" applyBorder="1" applyAlignment="1" applyProtection="1">
      <alignment horizontal="right" vertical="center"/>
      <protection locked="0"/>
    </xf>
    <xf numFmtId="0" fontId="14" fillId="12" borderId="59" xfId="0" applyFont="1" applyFill="1" applyBorder="1" applyAlignment="1" applyProtection="1">
      <alignment horizontal="justify" vertical="center"/>
      <protection locked="0"/>
    </xf>
    <xf numFmtId="0" fontId="239" fillId="12" borderId="59" xfId="0" applyFont="1" applyFill="1" applyBorder="1" applyAlignment="1" applyProtection="1">
      <alignment horizontal="justify" vertical="center"/>
      <protection locked="0"/>
    </xf>
    <xf numFmtId="3" fontId="16" fillId="12" borderId="11" xfId="0" applyNumberFormat="1" applyFont="1" applyFill="1" applyBorder="1" applyAlignment="1" applyProtection="1">
      <alignment horizontal="right" vertical="center" shrinkToFit="1"/>
      <protection hidden="1"/>
    </xf>
    <xf numFmtId="9" fontId="4" fillId="12" borderId="34" xfId="9" applyFont="1" applyFill="1" applyBorder="1" applyAlignment="1" applyProtection="1">
      <alignment horizontal="center" vertical="center" wrapText="1"/>
      <protection locked="0"/>
    </xf>
    <xf numFmtId="0" fontId="240" fillId="12" borderId="59" xfId="0" applyFont="1" applyFill="1" applyBorder="1" applyAlignment="1" applyProtection="1">
      <alignment horizontal="justify" vertical="center"/>
      <protection locked="0"/>
    </xf>
    <xf numFmtId="3" fontId="241" fillId="0" borderId="59" xfId="7" applyNumberFormat="1" applyFont="1" applyBorder="1" applyAlignment="1">
      <alignment horizontal="justify" vertical="center" wrapText="1"/>
    </xf>
    <xf numFmtId="0" fontId="241" fillId="12" borderId="59" xfId="7" applyFont="1" applyFill="1" applyBorder="1" applyAlignment="1" applyProtection="1">
      <alignment horizontal="justify" vertical="center"/>
      <protection locked="0"/>
    </xf>
    <xf numFmtId="0" fontId="4" fillId="12" borderId="14" xfId="0" applyFont="1" applyFill="1" applyBorder="1" applyAlignment="1" applyProtection="1">
      <alignment horizontal="justify" vertical="center"/>
      <protection locked="0"/>
    </xf>
    <xf numFmtId="4" fontId="4" fillId="12" borderId="14" xfId="0" applyNumberFormat="1" applyFont="1" applyFill="1" applyBorder="1" applyAlignment="1" applyProtection="1">
      <alignment horizontal="right" vertical="center"/>
      <protection locked="0"/>
    </xf>
    <xf numFmtId="0" fontId="9" fillId="10" borderId="31" xfId="0" applyFont="1" applyFill="1" applyBorder="1" applyAlignment="1" applyProtection="1">
      <alignment horizontal="centerContinuous" vertical="center" shrinkToFit="1"/>
      <protection hidden="1"/>
    </xf>
    <xf numFmtId="4" fontId="9" fillId="10" borderId="4" xfId="0" applyNumberFormat="1" applyFont="1" applyFill="1" applyBorder="1" applyAlignment="1" applyProtection="1">
      <alignment horizontal="right" vertical="center" shrinkToFit="1"/>
      <protection hidden="1"/>
    </xf>
    <xf numFmtId="0" fontId="9" fillId="10" borderId="60" xfId="0" applyFont="1" applyFill="1" applyBorder="1" applyAlignment="1" applyProtection="1">
      <alignment horizontal="center" vertical="center"/>
      <protection hidden="1"/>
    </xf>
    <xf numFmtId="0" fontId="9" fillId="10" borderId="8" xfId="0" applyFont="1" applyFill="1" applyBorder="1" applyAlignment="1" applyProtection="1">
      <alignment horizontal="center" vertical="center"/>
      <protection hidden="1"/>
    </xf>
    <xf numFmtId="0" fontId="9" fillId="10" borderId="36" xfId="0" applyFont="1" applyFill="1" applyBorder="1" applyAlignment="1" applyProtection="1">
      <alignment vertical="center"/>
      <protection hidden="1"/>
    </xf>
    <xf numFmtId="4" fontId="9" fillId="10" borderId="11" xfId="0" applyNumberFormat="1" applyFont="1" applyFill="1" applyBorder="1" applyAlignment="1" applyProtection="1">
      <alignment horizontal="right" vertical="center" wrapText="1" shrinkToFit="1"/>
      <protection hidden="1"/>
    </xf>
    <xf numFmtId="3" fontId="9" fillId="10" borderId="11" xfId="0" applyNumberFormat="1" applyFont="1" applyFill="1" applyBorder="1" applyAlignment="1" applyProtection="1">
      <alignment horizontal="right" vertical="center" wrapText="1" shrinkToFit="1"/>
      <protection hidden="1"/>
    </xf>
    <xf numFmtId="0" fontId="9" fillId="10" borderId="11" xfId="0" applyFont="1" applyFill="1" applyBorder="1" applyAlignment="1" applyProtection="1">
      <alignment horizontal="center" vertical="center" wrapText="1" shrinkToFit="1"/>
      <protection hidden="1"/>
    </xf>
    <xf numFmtId="0" fontId="9" fillId="10" borderId="8" xfId="0" applyFont="1" applyFill="1" applyBorder="1" applyAlignment="1" applyProtection="1">
      <alignment horizontal="center" vertical="center" shrinkToFit="1"/>
      <protection hidden="1"/>
    </xf>
    <xf numFmtId="0" fontId="231" fillId="10" borderId="59" xfId="0" applyFont="1" applyFill="1" applyBorder="1" applyAlignment="1">
      <alignment horizontal="justify" vertical="center"/>
    </xf>
    <xf numFmtId="0" fontId="232" fillId="12" borderId="19" xfId="0" applyFont="1" applyFill="1" applyBorder="1"/>
    <xf numFmtId="0" fontId="232" fillId="12" borderId="20" xfId="0" applyFont="1" applyFill="1" applyBorder="1"/>
    <xf numFmtId="4" fontId="232" fillId="12" borderId="20" xfId="0" applyNumberFormat="1" applyFont="1" applyFill="1" applyBorder="1"/>
    <xf numFmtId="3" fontId="232" fillId="12" borderId="20" xfId="0" applyNumberFormat="1" applyFont="1" applyFill="1" applyBorder="1" applyAlignment="1">
      <alignment horizontal="right" vertical="center"/>
    </xf>
    <xf numFmtId="0" fontId="232" fillId="12" borderId="20" xfId="0" applyFont="1" applyFill="1" applyBorder="1" applyAlignment="1">
      <alignment horizontal="center" vertical="center"/>
    </xf>
    <xf numFmtId="0" fontId="232" fillId="12" borderId="58" xfId="0" applyFont="1" applyFill="1" applyBorder="1"/>
    <xf numFmtId="0" fontId="232" fillId="12" borderId="57" xfId="0" applyFont="1" applyFill="1" applyBorder="1" applyAlignment="1">
      <alignment horizontal="justify"/>
    </xf>
    <xf numFmtId="0" fontId="108" fillId="11" borderId="0" xfId="0" applyFont="1" applyFill="1" applyAlignment="1">
      <alignment vertical="center" wrapText="1"/>
    </xf>
    <xf numFmtId="0" fontId="111" fillId="0" borderId="0" xfId="0" applyFont="1" applyAlignment="1">
      <alignment horizontal="left" vertical="center"/>
    </xf>
    <xf numFmtId="0" fontId="111" fillId="0" borderId="0" xfId="0" applyFont="1" applyAlignment="1">
      <alignment vertical="center"/>
    </xf>
    <xf numFmtId="0" fontId="108" fillId="12" borderId="0" xfId="0" applyFont="1" applyFill="1" applyAlignment="1">
      <alignment vertical="center"/>
    </xf>
    <xf numFmtId="192" fontId="111" fillId="34" borderId="41" xfId="0" applyNumberFormat="1" applyFont="1" applyFill="1" applyBorder="1" applyAlignment="1" applyProtection="1">
      <alignment vertical="center" shrinkToFit="1"/>
      <protection hidden="1"/>
    </xf>
    <xf numFmtId="192" fontId="111" fillId="34" borderId="35" xfId="0" applyNumberFormat="1" applyFont="1" applyFill="1" applyBorder="1" applyAlignment="1" applyProtection="1">
      <alignment vertical="center" shrinkToFit="1"/>
      <protection hidden="1"/>
    </xf>
    <xf numFmtId="192" fontId="111" fillId="34" borderId="66" xfId="0" applyNumberFormat="1" applyFont="1" applyFill="1" applyBorder="1" applyAlignment="1" applyProtection="1">
      <alignment vertical="center" shrinkToFit="1"/>
      <protection hidden="1"/>
    </xf>
    <xf numFmtId="9" fontId="14" fillId="12" borderId="34" xfId="9" applyFont="1" applyFill="1" applyBorder="1" applyAlignment="1" applyProtection="1">
      <alignment horizontal="right" vertical="center" wrapText="1"/>
      <protection locked="0"/>
    </xf>
    <xf numFmtId="0" fontId="9" fillId="10" borderId="34" xfId="0" applyFont="1" applyFill="1" applyBorder="1" applyAlignment="1" applyProtection="1">
      <alignment horizontal="centerContinuous" vertical="center" wrapText="1" shrinkToFit="1"/>
      <protection hidden="1"/>
    </xf>
    <xf numFmtId="0" fontId="4" fillId="10" borderId="72" xfId="0" applyFont="1" applyFill="1" applyBorder="1" applyAlignment="1" applyProtection="1">
      <alignment horizontal="centerContinuous" vertical="center" wrapText="1" shrinkToFit="1"/>
      <protection hidden="1"/>
    </xf>
    <xf numFmtId="0" fontId="9" fillId="10" borderId="75" xfId="0" applyFont="1" applyFill="1" applyBorder="1" applyAlignment="1" applyProtection="1">
      <alignment horizontal="center" vertical="center"/>
      <protection hidden="1"/>
    </xf>
    <xf numFmtId="0" fontId="9" fillId="10" borderId="4" xfId="0" applyFont="1" applyFill="1" applyBorder="1" applyAlignment="1" applyProtection="1">
      <alignment vertical="center"/>
      <protection hidden="1"/>
    </xf>
    <xf numFmtId="0" fontId="4" fillId="10" borderId="4" xfId="0" applyFont="1" applyFill="1" applyBorder="1" applyAlignment="1" applyProtection="1">
      <alignment horizontal="centerContinuous" vertical="center" wrapText="1" shrinkToFit="1"/>
      <protection hidden="1"/>
    </xf>
    <xf numFmtId="0" fontId="14" fillId="0" borderId="77" xfId="0" applyFont="1" applyBorder="1" applyAlignment="1" applyProtection="1">
      <alignment horizontal="right" vertical="center"/>
      <protection hidden="1"/>
    </xf>
    <xf numFmtId="0" fontId="14" fillId="0" borderId="8" xfId="0" applyFont="1" applyBorder="1" applyAlignment="1" applyProtection="1">
      <alignment horizontal="right" wrapText="1"/>
      <protection hidden="1"/>
    </xf>
    <xf numFmtId="0" fontId="14" fillId="0" borderId="78" xfId="0" applyFont="1" applyBorder="1" applyAlignment="1" applyProtection="1">
      <alignment horizontal="right" vertical="center"/>
      <protection hidden="1"/>
    </xf>
    <xf numFmtId="175" fontId="14" fillId="0" borderId="8" xfId="9" applyNumberFormat="1" applyFont="1" applyFill="1" applyBorder="1" applyAlignment="1" applyProtection="1">
      <alignment horizontal="right" vertical="center" wrapText="1" shrinkToFit="1"/>
      <protection hidden="1"/>
    </xf>
    <xf numFmtId="0" fontId="14" fillId="0" borderId="8" xfId="0" applyFont="1" applyBorder="1" applyAlignment="1" applyProtection="1">
      <alignment horizontal="right" vertical="center"/>
      <protection hidden="1"/>
    </xf>
    <xf numFmtId="2" fontId="14" fillId="0" borderId="8" xfId="9" applyNumberFormat="1" applyFont="1" applyFill="1" applyBorder="1" applyAlignment="1" applyProtection="1">
      <alignment horizontal="right" vertical="center" wrapText="1" shrinkToFit="1"/>
      <protection hidden="1"/>
    </xf>
    <xf numFmtId="0" fontId="14" fillId="12" borderId="79" xfId="0" applyFont="1" applyFill="1" applyBorder="1" applyAlignment="1" applyProtection="1">
      <alignment horizontal="center" vertical="center"/>
      <protection locked="0"/>
    </xf>
    <xf numFmtId="4" fontId="14" fillId="12" borderId="8" xfId="0" applyNumberFormat="1" applyFont="1" applyFill="1" applyBorder="1" applyAlignment="1" applyProtection="1">
      <alignment horizontal="right" vertical="center"/>
      <protection locked="0"/>
    </xf>
    <xf numFmtId="3" fontId="14" fillId="12" borderId="8" xfId="0" applyNumberFormat="1" applyFont="1" applyFill="1" applyBorder="1" applyAlignment="1" applyProtection="1">
      <alignment horizontal="right" vertical="center" shrinkToFit="1"/>
      <protection hidden="1"/>
    </xf>
    <xf numFmtId="9" fontId="14" fillId="12" borderId="8" xfId="9" applyFont="1" applyFill="1" applyBorder="1" applyAlignment="1" applyProtection="1">
      <alignment horizontal="right" vertical="center"/>
      <protection locked="0"/>
    </xf>
    <xf numFmtId="0" fontId="4" fillId="12" borderId="79" xfId="0" applyFont="1" applyFill="1" applyBorder="1" applyAlignment="1" applyProtection="1">
      <alignment horizontal="center" vertical="center"/>
      <protection locked="0"/>
    </xf>
    <xf numFmtId="3" fontId="4" fillId="12" borderId="8" xfId="0" applyNumberFormat="1" applyFont="1" applyFill="1" applyBorder="1" applyAlignment="1" applyProtection="1">
      <alignment horizontal="right" vertical="center" shrinkToFit="1"/>
      <protection hidden="1"/>
    </xf>
    <xf numFmtId="0" fontId="4" fillId="12" borderId="8" xfId="0" applyFont="1" applyFill="1" applyBorder="1" applyAlignment="1" applyProtection="1">
      <alignment horizontal="center" vertical="center" wrapText="1"/>
      <protection locked="0"/>
    </xf>
    <xf numFmtId="9" fontId="4" fillId="12" borderId="8" xfId="9" applyFont="1" applyFill="1" applyBorder="1" applyAlignment="1" applyProtection="1">
      <alignment horizontal="right" vertical="center"/>
      <protection locked="0"/>
    </xf>
    <xf numFmtId="0" fontId="4" fillId="12" borderId="80" xfId="0" applyFont="1" applyFill="1" applyBorder="1" applyAlignment="1" applyProtection="1">
      <alignment horizontal="center" vertical="center"/>
      <protection locked="0"/>
    </xf>
    <xf numFmtId="0" fontId="4" fillId="12" borderId="9" xfId="0" applyFont="1" applyFill="1" applyBorder="1" applyAlignment="1" applyProtection="1">
      <alignment horizontal="center" vertical="center"/>
      <protection locked="0"/>
    </xf>
    <xf numFmtId="0" fontId="4" fillId="12" borderId="9" xfId="0" applyFont="1" applyFill="1" applyBorder="1" applyAlignment="1" applyProtection="1">
      <alignment horizontal="justify" vertical="center"/>
      <protection hidden="1"/>
    </xf>
    <xf numFmtId="0" fontId="4" fillId="12" borderId="9" xfId="0" applyFont="1" applyFill="1" applyBorder="1" applyAlignment="1" applyProtection="1">
      <alignment horizontal="center" vertical="center" wrapText="1"/>
      <protection locked="0"/>
    </xf>
    <xf numFmtId="4" fontId="4" fillId="12" borderId="9" xfId="0" applyNumberFormat="1" applyFont="1" applyFill="1" applyBorder="1" applyAlignment="1" applyProtection="1">
      <alignment horizontal="right" vertical="center"/>
      <protection locked="0"/>
    </xf>
    <xf numFmtId="3" fontId="4" fillId="12" borderId="9" xfId="0" applyNumberFormat="1" applyFont="1" applyFill="1" applyBorder="1" applyAlignment="1" applyProtection="1">
      <alignment horizontal="right" vertical="center"/>
      <protection locked="0"/>
    </xf>
    <xf numFmtId="3" fontId="4" fillId="12" borderId="9" xfId="0" applyNumberFormat="1" applyFont="1" applyFill="1" applyBorder="1" applyAlignment="1" applyProtection="1">
      <alignment horizontal="right" vertical="center" shrinkToFit="1"/>
      <protection hidden="1"/>
    </xf>
    <xf numFmtId="0" fontId="4" fillId="12" borderId="81" xfId="0" applyFont="1" applyFill="1" applyBorder="1" applyAlignment="1" applyProtection="1">
      <alignment horizontal="justify" vertical="center"/>
      <protection locked="0"/>
    </xf>
    <xf numFmtId="218" fontId="32" fillId="0" borderId="0" xfId="6" applyNumberFormat="1" applyFont="1" applyAlignment="1">
      <alignment vertical="center"/>
    </xf>
    <xf numFmtId="221" fontId="14" fillId="0" borderId="8" xfId="0" applyNumberFormat="1" applyFont="1" applyBorder="1" applyAlignment="1" applyProtection="1">
      <alignment horizontal="right" vertical="center" wrapText="1" shrinkToFit="1"/>
      <protection hidden="1"/>
    </xf>
    <xf numFmtId="0" fontId="9" fillId="12" borderId="60" xfId="0" applyFont="1" applyFill="1" applyBorder="1" applyAlignment="1" applyProtection="1">
      <alignment horizontal="center" vertical="center"/>
      <protection locked="0"/>
    </xf>
    <xf numFmtId="0" fontId="9" fillId="12" borderId="8" xfId="0" applyFont="1" applyFill="1" applyBorder="1" applyAlignment="1" applyProtection="1">
      <alignment horizontal="center" vertical="center"/>
      <protection locked="0"/>
    </xf>
    <xf numFmtId="0" fontId="9" fillId="12" borderId="8" xfId="0" applyFont="1" applyFill="1" applyBorder="1" applyAlignment="1" applyProtection="1">
      <alignment horizontal="justify" vertical="center"/>
      <protection locked="0"/>
    </xf>
    <xf numFmtId="4" fontId="9" fillId="12" borderId="8" xfId="0" applyNumberFormat="1" applyFont="1" applyFill="1" applyBorder="1" applyAlignment="1" applyProtection="1">
      <alignment horizontal="right" vertical="center"/>
      <protection locked="0"/>
    </xf>
    <xf numFmtId="3" fontId="9" fillId="12" borderId="8" xfId="0" applyNumberFormat="1" applyFont="1" applyFill="1" applyBorder="1" applyAlignment="1" applyProtection="1">
      <alignment horizontal="right" vertical="center"/>
      <protection locked="0"/>
    </xf>
    <xf numFmtId="3" fontId="9" fillId="12" borderId="8" xfId="0" applyNumberFormat="1" applyFont="1" applyFill="1" applyBorder="1" applyAlignment="1" applyProtection="1">
      <alignment horizontal="right" vertical="center" shrinkToFit="1"/>
      <protection locked="0"/>
    </xf>
    <xf numFmtId="0" fontId="9" fillId="12" borderId="34" xfId="0" applyFont="1" applyFill="1" applyBorder="1" applyAlignment="1" applyProtection="1">
      <alignment horizontal="justify" vertical="center" wrapText="1"/>
      <protection locked="0"/>
    </xf>
    <xf numFmtId="0" fontId="9" fillId="12" borderId="61" xfId="0" applyFont="1" applyFill="1" applyBorder="1" applyAlignment="1" applyProtection="1">
      <alignment horizontal="center" vertical="center"/>
      <protection locked="0"/>
    </xf>
    <xf numFmtId="0" fontId="9" fillId="12" borderId="14" xfId="0" applyFont="1" applyFill="1" applyBorder="1" applyAlignment="1" applyProtection="1">
      <alignment horizontal="center" vertical="center"/>
      <protection locked="0"/>
    </xf>
    <xf numFmtId="0" fontId="9" fillId="12" borderId="14" xfId="0" applyFont="1" applyFill="1" applyBorder="1" applyAlignment="1" applyProtection="1">
      <alignment horizontal="justify" vertical="center"/>
      <protection locked="0"/>
    </xf>
    <xf numFmtId="0" fontId="9" fillId="12" borderId="72" xfId="0" applyFont="1" applyFill="1" applyBorder="1" applyAlignment="1" applyProtection="1">
      <alignment horizontal="justify" vertical="center" wrapText="1"/>
      <protection locked="0"/>
    </xf>
    <xf numFmtId="4" fontId="9" fillId="12" borderId="14" xfId="0" applyNumberFormat="1" applyFont="1" applyFill="1" applyBorder="1" applyAlignment="1" applyProtection="1">
      <alignment horizontal="right" vertical="center"/>
      <protection locked="0"/>
    </xf>
    <xf numFmtId="3" fontId="9" fillId="12" borderId="14" xfId="0" applyNumberFormat="1" applyFont="1" applyFill="1" applyBorder="1" applyAlignment="1" applyProtection="1">
      <alignment horizontal="right" vertical="center"/>
      <protection locked="0"/>
    </xf>
    <xf numFmtId="3" fontId="9" fillId="12" borderId="14" xfId="0" applyNumberFormat="1" applyFont="1" applyFill="1" applyBorder="1" applyAlignment="1" applyProtection="1">
      <alignment horizontal="right" vertical="center" shrinkToFit="1"/>
      <protection hidden="1"/>
    </xf>
    <xf numFmtId="3" fontId="9" fillId="12" borderId="14" xfId="0" applyNumberFormat="1" applyFont="1" applyFill="1" applyBorder="1" applyAlignment="1" applyProtection="1">
      <alignment horizontal="right" vertical="center" shrinkToFit="1"/>
      <protection locked="0"/>
    </xf>
    <xf numFmtId="0" fontId="4" fillId="10" borderId="31" xfId="0" applyFont="1" applyFill="1" applyBorder="1" applyAlignment="1" applyProtection="1">
      <alignment horizontal="center" vertical="center" wrapText="1" shrinkToFit="1"/>
      <protection hidden="1"/>
    </xf>
    <xf numFmtId="3" fontId="9" fillId="12" borderId="8" xfId="0" applyNumberFormat="1" applyFont="1" applyFill="1" applyBorder="1" applyAlignment="1" applyProtection="1">
      <alignment horizontal="right" vertical="center" shrinkToFit="1"/>
      <protection hidden="1"/>
    </xf>
    <xf numFmtId="0" fontId="4" fillId="0" borderId="76" xfId="0" applyFont="1" applyBorder="1" applyAlignment="1">
      <alignment horizontal="center" vertical="center" wrapText="1"/>
    </xf>
    <xf numFmtId="0" fontId="14" fillId="0" borderId="8" xfId="0" applyFont="1" applyBorder="1" applyAlignment="1" applyProtection="1">
      <alignment horizontal="centerContinuous" vertical="center" shrinkToFit="1"/>
      <protection hidden="1"/>
    </xf>
    <xf numFmtId="3" fontId="14" fillId="0" borderId="7" xfId="0" applyNumberFormat="1" applyFont="1" applyBorder="1" applyAlignment="1" applyProtection="1">
      <alignment horizontal="right" vertical="center" shrinkToFit="1"/>
      <protection hidden="1"/>
    </xf>
    <xf numFmtId="0" fontId="14" fillId="0" borderId="34" xfId="0" applyFont="1" applyBorder="1" applyAlignment="1" applyProtection="1">
      <alignment horizontal="centerContinuous" vertical="center" shrinkToFit="1"/>
      <protection hidden="1"/>
    </xf>
    <xf numFmtId="0" fontId="4" fillId="0" borderId="82" xfId="0" applyFont="1" applyBorder="1" applyAlignment="1">
      <alignment horizontal="center" vertical="center" wrapText="1"/>
    </xf>
    <xf numFmtId="175" fontId="14" fillId="12" borderId="8" xfId="9" applyNumberFormat="1" applyFont="1" applyFill="1" applyBorder="1" applyAlignment="1" applyProtection="1">
      <alignment horizontal="right" vertical="center"/>
      <protection locked="0"/>
    </xf>
    <xf numFmtId="0" fontId="4" fillId="0" borderId="8" xfId="0" applyFont="1" applyBorder="1" applyAlignment="1">
      <alignment horizontal="centerContinuous" vertical="center" wrapText="1"/>
    </xf>
    <xf numFmtId="2" fontId="14" fillId="0" borderId="8" xfId="0" applyNumberFormat="1" applyFont="1" applyBorder="1" applyAlignment="1" applyProtection="1">
      <alignment horizontal="centerContinuous" vertical="center" shrinkToFit="1"/>
      <protection hidden="1"/>
    </xf>
    <xf numFmtId="0" fontId="9" fillId="0" borderId="61" xfId="0" applyFont="1" applyBorder="1" applyAlignment="1" applyProtection="1">
      <alignment horizontal="center" vertical="center"/>
      <protection hidden="1"/>
    </xf>
    <xf numFmtId="0" fontId="9" fillId="0" borderId="36" xfId="0" applyFont="1" applyBorder="1" applyAlignment="1" applyProtection="1">
      <alignment vertical="center"/>
      <protection hidden="1"/>
    </xf>
    <xf numFmtId="0" fontId="4" fillId="0" borderId="34" xfId="0" applyFont="1" applyBorder="1" applyAlignment="1" applyProtection="1">
      <alignment horizontal="center" vertical="center" wrapText="1" shrinkToFit="1"/>
      <protection hidden="1"/>
    </xf>
    <xf numFmtId="175" fontId="14" fillId="12" borderId="34" xfId="9" applyNumberFormat="1" applyFont="1" applyFill="1" applyBorder="1" applyAlignment="1" applyProtection="1">
      <alignment horizontal="right" vertical="center"/>
      <protection locked="0"/>
    </xf>
    <xf numFmtId="180" fontId="14" fillId="12" borderId="34" xfId="9" applyNumberFormat="1" applyFont="1" applyFill="1" applyBorder="1" applyAlignment="1" applyProtection="1">
      <alignment horizontal="right" vertical="center"/>
      <protection locked="0"/>
    </xf>
    <xf numFmtId="0" fontId="9" fillId="12" borderId="34" xfId="0" applyFont="1" applyFill="1" applyBorder="1" applyAlignment="1" applyProtection="1">
      <alignment horizontal="center" vertical="center" wrapText="1"/>
      <protection locked="0"/>
    </xf>
    <xf numFmtId="4" fontId="9" fillId="12" borderId="11" xfId="0" applyNumberFormat="1" applyFont="1" applyFill="1" applyBorder="1" applyAlignment="1" applyProtection="1">
      <alignment horizontal="right" vertical="center"/>
      <protection locked="0"/>
    </xf>
    <xf numFmtId="3" fontId="9" fillId="12" borderId="11" xfId="0" applyNumberFormat="1" applyFont="1" applyFill="1" applyBorder="1" applyAlignment="1" applyProtection="1">
      <alignment horizontal="right" vertical="center"/>
      <protection locked="0"/>
    </xf>
    <xf numFmtId="0" fontId="9" fillId="12" borderId="11" xfId="0" applyFont="1" applyFill="1" applyBorder="1" applyAlignment="1" applyProtection="1">
      <alignment horizontal="center" vertical="center"/>
      <protection locked="0"/>
    </xf>
    <xf numFmtId="3" fontId="9" fillId="12" borderId="11" xfId="0" applyNumberFormat="1" applyFont="1" applyFill="1" applyBorder="1" applyAlignment="1" applyProtection="1">
      <alignment horizontal="right" vertical="center" shrinkToFit="1"/>
      <protection hidden="1"/>
    </xf>
    <xf numFmtId="3" fontId="9" fillId="10" borderId="14" xfId="0" applyNumberFormat="1" applyFont="1" applyFill="1" applyBorder="1" applyAlignment="1" applyProtection="1">
      <alignment horizontal="right" vertical="center" shrinkToFit="1"/>
      <protection hidden="1"/>
    </xf>
    <xf numFmtId="195" fontId="116" fillId="0" borderId="3" xfId="0" applyNumberFormat="1" applyFont="1" applyBorder="1" applyAlignment="1">
      <alignment horizontal="center"/>
    </xf>
    <xf numFmtId="0" fontId="4" fillId="0" borderId="12" xfId="0" applyFont="1" applyBorder="1" applyAlignment="1" applyProtection="1">
      <alignment horizontal="center" vertical="center"/>
      <protection hidden="1"/>
    </xf>
    <xf numFmtId="177" fontId="4" fillId="0" borderId="3" xfId="0" applyNumberFormat="1" applyFont="1" applyBorder="1" applyAlignment="1">
      <alignment horizontal="center" vertical="center"/>
    </xf>
    <xf numFmtId="193" fontId="4" fillId="0" borderId="3" xfId="0" applyNumberFormat="1" applyFont="1" applyBorder="1" applyAlignment="1">
      <alignment horizontal="center" vertical="center"/>
    </xf>
    <xf numFmtId="3" fontId="4" fillId="0" borderId="3" xfId="0" applyNumberFormat="1" applyFont="1" applyBorder="1" applyAlignment="1" applyProtection="1">
      <alignment horizontal="center" vertical="center"/>
      <protection hidden="1"/>
    </xf>
    <xf numFmtId="194" fontId="4" fillId="0" borderId="3" xfId="0" applyNumberFormat="1" applyFont="1" applyBorder="1" applyAlignment="1" applyProtection="1">
      <alignment horizontal="center" vertical="center"/>
      <protection hidden="1"/>
    </xf>
    <xf numFmtId="192" fontId="108" fillId="0" borderId="3" xfId="0" applyNumberFormat="1" applyFont="1" applyBorder="1" applyAlignment="1">
      <alignment horizontal="center" vertical="center"/>
    </xf>
    <xf numFmtId="195" fontId="116" fillId="0" borderId="3" xfId="0" applyNumberFormat="1" applyFont="1" applyBorder="1" applyAlignment="1">
      <alignment horizontal="center" vertical="center"/>
    </xf>
    <xf numFmtId="0" fontId="113" fillId="0" borderId="12" xfId="0" applyFont="1" applyBorder="1" applyAlignment="1">
      <alignment vertical="center"/>
    </xf>
    <xf numFmtId="0" fontId="113" fillId="0" borderId="2" xfId="0" applyFont="1" applyBorder="1" applyAlignment="1">
      <alignment horizontal="centerContinuous" vertical="center"/>
    </xf>
    <xf numFmtId="0" fontId="113" fillId="0" borderId="15" xfId="0" applyFont="1" applyBorder="1" applyAlignment="1">
      <alignment horizontal="centerContinuous" vertical="center"/>
    </xf>
    <xf numFmtId="0" fontId="4" fillId="0" borderId="12"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219" fontId="116" fillId="0" borderId="3" xfId="0" applyNumberFormat="1" applyFont="1" applyBorder="1" applyAlignment="1">
      <alignment horizontal="center"/>
    </xf>
    <xf numFmtId="194" fontId="116" fillId="0" borderId="3" xfId="0" applyNumberFormat="1" applyFont="1" applyBorder="1" applyAlignment="1">
      <alignment horizontal="center"/>
    </xf>
    <xf numFmtId="220" fontId="4" fillId="0" borderId="3" xfId="0" applyNumberFormat="1" applyFont="1" applyBorder="1" applyAlignment="1" applyProtection="1">
      <alignment horizontal="center" vertical="center"/>
      <protection hidden="1"/>
    </xf>
    <xf numFmtId="222" fontId="116" fillId="0" borderId="3" xfId="0" applyNumberFormat="1" applyFont="1" applyBorder="1" applyAlignment="1">
      <alignment horizontal="center"/>
    </xf>
    <xf numFmtId="220" fontId="29" fillId="0" borderId="3" xfId="0" applyNumberFormat="1" applyFont="1" applyBorder="1" applyAlignment="1" applyProtection="1">
      <alignment horizontal="center" vertical="center"/>
      <protection hidden="1"/>
    </xf>
    <xf numFmtId="0" fontId="113" fillId="0" borderId="3" xfId="0" applyFont="1" applyBorder="1" applyAlignment="1">
      <alignment horizontal="center" vertical="center" wrapText="1"/>
    </xf>
    <xf numFmtId="220" fontId="140" fillId="0" borderId="3" xfId="0" applyNumberFormat="1" applyFont="1" applyBorder="1" applyAlignment="1">
      <alignment horizontal="center" vertical="center"/>
    </xf>
    <xf numFmtId="0" fontId="4" fillId="0" borderId="0" xfId="0" applyFont="1" applyAlignment="1" applyProtection="1">
      <alignment horizontal="left" vertical="center"/>
      <protection hidden="1"/>
    </xf>
    <xf numFmtId="0" fontId="4" fillId="0" borderId="0" xfId="0" applyFont="1" applyAlignment="1" applyProtection="1">
      <alignment horizontal="right" vertical="center"/>
      <protection hidden="1"/>
    </xf>
    <xf numFmtId="0" fontId="147" fillId="0" borderId="0" xfId="0" applyFont="1" applyAlignment="1">
      <alignment vertical="center"/>
    </xf>
    <xf numFmtId="0" fontId="14" fillId="0" borderId="0" xfId="0" applyFont="1" applyAlignment="1" applyProtection="1">
      <alignment vertical="center"/>
      <protection hidden="1"/>
    </xf>
    <xf numFmtId="0" fontId="188" fillId="0" borderId="0" xfId="7" applyFont="1" applyAlignment="1" applyProtection="1">
      <alignment vertical="center"/>
      <protection hidden="1"/>
    </xf>
    <xf numFmtId="0" fontId="242" fillId="0" borderId="0" xfId="0" applyFont="1" applyAlignment="1" applyProtection="1">
      <alignment vertical="center"/>
      <protection hidden="1"/>
    </xf>
    <xf numFmtId="0" fontId="4" fillId="0" borderId="3" xfId="0" applyFont="1" applyBorder="1" applyAlignment="1">
      <alignment horizontal="left" vertical="center" wrapText="1"/>
    </xf>
    <xf numFmtId="3" fontId="4" fillId="0" borderId="0" xfId="0" applyNumberFormat="1" applyFont="1" applyAlignment="1" applyProtection="1">
      <alignment horizontal="center" vertical="center"/>
      <protection hidden="1"/>
    </xf>
    <xf numFmtId="3" fontId="4" fillId="0" borderId="0" xfId="0" applyNumberFormat="1" applyFont="1" applyAlignment="1" applyProtection="1">
      <alignment vertical="center"/>
      <protection hidden="1"/>
    </xf>
    <xf numFmtId="4" fontId="4" fillId="0" borderId="0" xfId="0" applyNumberFormat="1" applyFont="1" applyAlignment="1" applyProtection="1">
      <alignment vertical="center"/>
      <protection hidden="1"/>
    </xf>
    <xf numFmtId="3" fontId="113" fillId="0" borderId="3" xfId="0" applyNumberFormat="1" applyFont="1" applyBorder="1" applyAlignment="1">
      <alignment horizontal="center" vertical="center"/>
    </xf>
    <xf numFmtId="3" fontId="116" fillId="0" borderId="3" xfId="0" applyNumberFormat="1" applyFont="1" applyBorder="1" applyAlignment="1">
      <alignment horizontal="right"/>
    </xf>
    <xf numFmtId="3" fontId="116" fillId="0" borderId="3" xfId="0" applyNumberFormat="1" applyFont="1" applyBorder="1" applyAlignment="1">
      <alignment horizontal="center"/>
    </xf>
    <xf numFmtId="3" fontId="29" fillId="0" borderId="3" xfId="0" applyNumberFormat="1" applyFont="1" applyBorder="1" applyAlignment="1" applyProtection="1">
      <alignment horizontal="center" vertical="center"/>
      <protection hidden="1"/>
    </xf>
    <xf numFmtId="3" fontId="4" fillId="0" borderId="24" xfId="0" applyNumberFormat="1" applyFont="1" applyBorder="1" applyAlignment="1" applyProtection="1">
      <alignment vertical="center"/>
      <protection hidden="1"/>
    </xf>
    <xf numFmtId="0" fontId="4" fillId="0" borderId="24" xfId="0" applyFont="1" applyBorder="1" applyAlignment="1" applyProtection="1">
      <alignment vertical="center"/>
      <protection hidden="1"/>
    </xf>
    <xf numFmtId="187" fontId="4" fillId="0" borderId="3" xfId="0" applyNumberFormat="1" applyFont="1" applyBorder="1" applyAlignment="1">
      <alignment horizontal="center" vertical="center"/>
    </xf>
    <xf numFmtId="0" fontId="110" fillId="0" borderId="0" xfId="0" applyFont="1"/>
    <xf numFmtId="0" fontId="179" fillId="0" borderId="0" xfId="0" applyFont="1"/>
    <xf numFmtId="0" fontId="108" fillId="0" borderId="0" xfId="0" applyFont="1" applyAlignment="1">
      <alignment horizontal="center" vertical="center" wrapText="1"/>
    </xf>
    <xf numFmtId="0" fontId="108" fillId="0" borderId="74" xfId="0" applyFont="1" applyBorder="1" applyAlignment="1">
      <alignment horizontal="center" vertical="center" wrapText="1"/>
    </xf>
    <xf numFmtId="0" fontId="168" fillId="0" borderId="0" xfId="0" applyFont="1"/>
    <xf numFmtId="0" fontId="227" fillId="0" borderId="0" xfId="0" applyFont="1"/>
    <xf numFmtId="0" fontId="4" fillId="11" borderId="0" xfId="0" applyFont="1" applyFill="1" applyAlignment="1" applyProtection="1">
      <alignment vertical="center"/>
      <protection hidden="1"/>
    </xf>
    <xf numFmtId="3" fontId="4" fillId="0" borderId="3" xfId="0" applyNumberFormat="1" applyFont="1" applyBorder="1" applyAlignment="1">
      <alignment horizontal="right" vertical="center"/>
    </xf>
    <xf numFmtId="3" fontId="116" fillId="0" borderId="24" xfId="0" applyNumberFormat="1" applyFont="1" applyBorder="1" applyAlignment="1">
      <alignment horizontal="center"/>
    </xf>
    <xf numFmtId="3" fontId="29" fillId="0" borderId="0" xfId="0" applyNumberFormat="1" applyFont="1" applyAlignment="1" applyProtection="1">
      <alignment horizontal="center" vertical="center"/>
      <protection hidden="1"/>
    </xf>
    <xf numFmtId="3" fontId="116" fillId="0" borderId="24" xfId="0" applyNumberFormat="1" applyFont="1" applyBorder="1" applyAlignment="1">
      <alignment horizontal="right"/>
    </xf>
    <xf numFmtId="3" fontId="116" fillId="0" borderId="0" xfId="0" applyNumberFormat="1" applyFont="1" applyAlignment="1">
      <alignment horizontal="right"/>
    </xf>
    <xf numFmtId="3" fontId="29" fillId="0" borderId="24" xfId="0" applyNumberFormat="1" applyFont="1" applyBorder="1" applyAlignment="1" applyProtection="1">
      <alignment horizontal="center" vertical="center"/>
      <protection hidden="1"/>
    </xf>
    <xf numFmtId="0" fontId="4" fillId="0" borderId="44" xfId="0" applyFont="1" applyBorder="1" applyAlignment="1" applyProtection="1">
      <alignment vertical="center"/>
      <protection hidden="1"/>
    </xf>
    <xf numFmtId="3" fontId="116" fillId="0" borderId="3" xfId="0" applyNumberFormat="1" applyFont="1" applyBorder="1" applyAlignment="1">
      <alignment horizontal="center" vertical="center"/>
    </xf>
    <xf numFmtId="0" fontId="4" fillId="0" borderId="3" xfId="0" applyFont="1" applyBorder="1" applyAlignment="1" applyProtection="1">
      <alignment horizontal="left" vertical="center"/>
      <protection hidden="1"/>
    </xf>
    <xf numFmtId="0" fontId="9" fillId="4" borderId="10" xfId="0" applyFont="1" applyFill="1" applyBorder="1" applyAlignment="1">
      <alignment horizontal="center" vertical="center" wrapText="1"/>
    </xf>
    <xf numFmtId="49" fontId="9" fillId="0" borderId="7" xfId="0" applyNumberFormat="1" applyFont="1" applyBorder="1" applyAlignment="1" applyProtection="1">
      <alignment horizontal="left" vertical="center" wrapText="1"/>
      <protection locked="0"/>
    </xf>
    <xf numFmtId="0" fontId="9" fillId="37" borderId="2" xfId="0" applyFont="1" applyFill="1" applyBorder="1" applyAlignment="1" applyProtection="1">
      <alignment horizontal="center" vertical="center" wrapText="1"/>
      <protection locked="0"/>
    </xf>
    <xf numFmtId="0" fontId="9" fillId="37" borderId="2" xfId="0" applyFont="1" applyFill="1" applyBorder="1" applyAlignment="1" applyProtection="1">
      <alignment vertical="center"/>
      <protection locked="0"/>
    </xf>
    <xf numFmtId="3" fontId="9" fillId="37" borderId="2" xfId="0" applyNumberFormat="1" applyFont="1" applyFill="1" applyBorder="1" applyAlignment="1" applyProtection="1">
      <alignment vertical="center"/>
      <protection locked="0"/>
    </xf>
    <xf numFmtId="3" fontId="4" fillId="37" borderId="2" xfId="0" applyNumberFormat="1" applyFont="1" applyFill="1" applyBorder="1" applyAlignment="1" applyProtection="1">
      <alignment vertical="center"/>
      <protection locked="0"/>
    </xf>
    <xf numFmtId="166" fontId="4" fillId="37" borderId="2" xfId="0" applyNumberFormat="1" applyFont="1" applyFill="1" applyBorder="1" applyAlignment="1" applyProtection="1">
      <alignment vertical="center"/>
      <protection locked="0"/>
    </xf>
    <xf numFmtId="0" fontId="4" fillId="37" borderId="2" xfId="0" applyFont="1" applyFill="1" applyBorder="1" applyAlignment="1" applyProtection="1">
      <alignment vertical="center"/>
      <protection locked="0"/>
    </xf>
    <xf numFmtId="0" fontId="4" fillId="37" borderId="15" xfId="0" applyFont="1" applyFill="1" applyBorder="1" applyAlignment="1" applyProtection="1">
      <alignment vertical="center"/>
      <protection locked="0"/>
    </xf>
    <xf numFmtId="49" fontId="9" fillId="0" borderId="7" xfId="0" applyNumberFormat="1" applyFont="1" applyBorder="1" applyAlignment="1" applyProtection="1">
      <alignment horizontal="center" vertical="center" wrapText="1"/>
      <protection locked="0"/>
    </xf>
    <xf numFmtId="0" fontId="9" fillId="0" borderId="7" xfId="0" applyFont="1" applyBorder="1" applyAlignment="1" applyProtection="1">
      <alignment horizontal="left" vertical="center" wrapText="1"/>
      <protection locked="0"/>
    </xf>
    <xf numFmtId="3" fontId="9" fillId="4" borderId="10" xfId="0" applyNumberFormat="1" applyFont="1" applyFill="1" applyBorder="1" applyAlignment="1" applyProtection="1">
      <alignment horizontal="right" vertical="center"/>
      <protection locked="0"/>
    </xf>
    <xf numFmtId="0" fontId="9" fillId="37" borderId="85" xfId="0" applyFont="1" applyFill="1" applyBorder="1" applyAlignment="1" applyProtection="1">
      <alignment horizontal="center" vertical="center" wrapText="1"/>
      <protection locked="0"/>
    </xf>
    <xf numFmtId="0" fontId="9" fillId="37" borderId="85" xfId="0" applyFont="1" applyFill="1" applyBorder="1" applyAlignment="1" applyProtection="1">
      <alignment vertical="center"/>
      <protection locked="0"/>
    </xf>
    <xf numFmtId="3" fontId="9" fillId="37" borderId="85" xfId="0" applyNumberFormat="1" applyFont="1" applyFill="1" applyBorder="1" applyAlignment="1" applyProtection="1">
      <alignment vertical="center"/>
      <protection locked="0"/>
    </xf>
    <xf numFmtId="0" fontId="4" fillId="0" borderId="44" xfId="0" applyFont="1" applyBorder="1" applyAlignment="1">
      <alignment horizontal="left" vertical="center"/>
    </xf>
    <xf numFmtId="49" fontId="4" fillId="0" borderId="44" xfId="0" applyNumberFormat="1" applyFont="1" applyBorder="1" applyAlignment="1">
      <alignment horizontal="left" vertical="center" wrapText="1"/>
    </xf>
    <xf numFmtId="0" fontId="68" fillId="0" borderId="44" xfId="0" applyFont="1" applyBorder="1" applyAlignment="1">
      <alignment horizontal="left" vertical="center" wrapText="1"/>
    </xf>
    <xf numFmtId="0" fontId="4" fillId="0" borderId="44" xfId="0" applyFont="1" applyBorder="1" applyAlignment="1">
      <alignment horizontal="left" vertical="center" wrapText="1"/>
    </xf>
    <xf numFmtId="3" fontId="4" fillId="0" borderId="44" xfId="0" applyNumberFormat="1" applyFont="1" applyBorder="1" applyAlignment="1">
      <alignment horizontal="left" vertical="center"/>
    </xf>
    <xf numFmtId="4" fontId="4" fillId="0" borderId="44" xfId="0" applyNumberFormat="1" applyFont="1" applyBorder="1" applyAlignment="1">
      <alignment horizontal="left" vertical="center"/>
    </xf>
    <xf numFmtId="49" fontId="4" fillId="0" borderId="8" xfId="0" quotePrefix="1" applyNumberFormat="1" applyFont="1" applyBorder="1" applyAlignment="1">
      <alignment horizontal="center" vertical="center" wrapText="1"/>
    </xf>
    <xf numFmtId="3" fontId="9" fillId="37" borderId="86" xfId="0" applyNumberFormat="1" applyFont="1" applyFill="1" applyBorder="1" applyAlignment="1" applyProtection="1">
      <alignment vertical="center"/>
      <protection locked="0"/>
    </xf>
    <xf numFmtId="166" fontId="4" fillId="37" borderId="86" xfId="0" applyNumberFormat="1" applyFont="1" applyFill="1" applyBorder="1" applyAlignment="1" applyProtection="1">
      <alignment vertical="center"/>
      <protection locked="0"/>
    </xf>
    <xf numFmtId="0" fontId="4" fillId="37" borderId="86" xfId="0" applyFont="1" applyFill="1" applyBorder="1" applyAlignment="1" applyProtection="1">
      <alignment vertical="center"/>
      <protection locked="0"/>
    </xf>
    <xf numFmtId="0" fontId="4" fillId="37" borderId="87" xfId="0" applyFont="1" applyFill="1" applyBorder="1" applyAlignment="1" applyProtection="1">
      <alignment vertical="center"/>
      <protection locked="0"/>
    </xf>
    <xf numFmtId="3" fontId="9" fillId="37" borderId="89" xfId="0" applyNumberFormat="1" applyFont="1" applyFill="1" applyBorder="1" applyAlignment="1" applyProtection="1">
      <alignment vertical="center"/>
      <protection locked="0"/>
    </xf>
    <xf numFmtId="3" fontId="9" fillId="37" borderId="90" xfId="0" applyNumberFormat="1" applyFont="1" applyFill="1" applyBorder="1" applyAlignment="1" applyProtection="1">
      <alignment vertical="center"/>
      <protection locked="0"/>
    </xf>
    <xf numFmtId="0" fontId="4" fillId="37" borderId="90" xfId="0" applyFont="1" applyFill="1" applyBorder="1" applyAlignment="1" applyProtection="1">
      <alignment vertical="center"/>
      <protection locked="0"/>
    </xf>
    <xf numFmtId="166" fontId="4" fillId="37" borderId="90" xfId="0" applyNumberFormat="1" applyFont="1" applyFill="1" applyBorder="1" applyAlignment="1" applyProtection="1">
      <alignment vertical="center"/>
      <protection locked="0"/>
    </xf>
    <xf numFmtId="0" fontId="4" fillId="37" borderId="91" xfId="0" applyFont="1" applyFill="1" applyBorder="1" applyAlignment="1" applyProtection="1">
      <alignment vertical="center"/>
      <protection locked="0"/>
    </xf>
    <xf numFmtId="3" fontId="9" fillId="37" borderId="93" xfId="0" applyNumberFormat="1" applyFont="1" applyFill="1" applyBorder="1" applyAlignment="1" applyProtection="1">
      <alignment vertical="center"/>
      <protection locked="0"/>
    </xf>
    <xf numFmtId="0" fontId="9" fillId="0" borderId="7" xfId="0" applyFont="1" applyBorder="1" applyAlignment="1" applyProtection="1">
      <alignment horizontal="center" vertical="center"/>
      <protection locked="0"/>
    </xf>
    <xf numFmtId="0" fontId="29" fillId="0" borderId="12" xfId="0" applyFont="1" applyBorder="1" applyAlignment="1">
      <alignment horizontal="center" vertical="center"/>
    </xf>
    <xf numFmtId="3" fontId="29" fillId="0" borderId="12" xfId="0" applyNumberFormat="1" applyFont="1" applyBorder="1" applyAlignment="1">
      <alignment horizontal="center" vertical="center"/>
    </xf>
    <xf numFmtId="3" fontId="44" fillId="0" borderId="12" xfId="0" applyNumberFormat="1" applyFont="1" applyBorder="1" applyAlignment="1">
      <alignment horizontal="center" vertical="center"/>
    </xf>
    <xf numFmtId="4" fontId="29" fillId="0" borderId="24" xfId="0" applyNumberFormat="1" applyFont="1" applyBorder="1" applyAlignment="1">
      <alignment horizontal="center" vertical="center"/>
    </xf>
    <xf numFmtId="0" fontId="29" fillId="0" borderId="7" xfId="0" applyFont="1" applyBorder="1" applyAlignment="1">
      <alignment horizontal="center" vertical="center"/>
    </xf>
    <xf numFmtId="3" fontId="29" fillId="0" borderId="7" xfId="0" applyNumberFormat="1" applyFont="1" applyBorder="1" applyAlignment="1">
      <alignment horizontal="center" vertical="center"/>
    </xf>
    <xf numFmtId="3" fontId="44" fillId="0" borderId="7" xfId="0" applyNumberFormat="1" applyFont="1" applyBorder="1" applyAlignment="1">
      <alignment horizontal="center" vertical="center"/>
    </xf>
    <xf numFmtId="0" fontId="248" fillId="0" borderId="0" xfId="0" applyFont="1" applyAlignment="1" applyProtection="1">
      <alignment vertical="center"/>
      <protection locked="0"/>
    </xf>
    <xf numFmtId="4" fontId="4" fillId="0" borderId="44" xfId="0" applyNumberFormat="1" applyFont="1" applyBorder="1" applyAlignment="1">
      <alignment horizontal="left" vertical="center" wrapText="1"/>
    </xf>
    <xf numFmtId="0" fontId="249" fillId="0" borderId="0" xfId="0" applyFont="1" applyAlignment="1" applyProtection="1">
      <alignment vertical="center"/>
      <protection locked="0"/>
    </xf>
    <xf numFmtId="0" fontId="75" fillId="0" borderId="5"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37" borderId="5" xfId="0" applyFont="1" applyFill="1" applyBorder="1" applyAlignment="1" applyProtection="1">
      <alignment horizontal="center" vertical="center"/>
      <protection locked="0"/>
    </xf>
    <xf numFmtId="0" fontId="9" fillId="0" borderId="24" xfId="0" applyFont="1" applyBorder="1" applyAlignment="1" applyProtection="1">
      <alignment horizontal="center" vertical="center"/>
      <protection locked="0"/>
    </xf>
    <xf numFmtId="0" fontId="4" fillId="37" borderId="84" xfId="0" applyFont="1" applyFill="1" applyBorder="1" applyAlignment="1" applyProtection="1">
      <alignment horizontal="center" vertical="center"/>
      <protection locked="0"/>
    </xf>
    <xf numFmtId="0" fontId="4" fillId="4" borderId="30" xfId="0" applyFont="1" applyFill="1" applyBorder="1" applyAlignment="1" applyProtection="1">
      <alignment horizontal="center" vertical="center"/>
      <protection locked="0"/>
    </xf>
    <xf numFmtId="3" fontId="75" fillId="0" borderId="15" xfId="0" applyNumberFormat="1" applyFont="1" applyBorder="1" applyAlignment="1" applyProtection="1">
      <alignment horizontal="center" vertical="center"/>
      <protection locked="0"/>
    </xf>
    <xf numFmtId="3" fontId="4" fillId="0" borderId="45" xfId="0" applyNumberFormat="1" applyFont="1" applyBorder="1" applyAlignment="1" applyProtection="1">
      <alignment vertical="center"/>
      <protection locked="0"/>
    </xf>
    <xf numFmtId="3" fontId="4" fillId="0" borderId="22" xfId="0" applyNumberFormat="1" applyFont="1" applyBorder="1" applyAlignment="1" applyProtection="1">
      <alignment vertical="center"/>
      <protection locked="0"/>
    </xf>
    <xf numFmtId="3" fontId="4" fillId="37" borderId="89" xfId="0" applyNumberFormat="1" applyFont="1" applyFill="1" applyBorder="1" applyAlignment="1" applyProtection="1">
      <alignment vertical="center"/>
      <protection locked="0"/>
    </xf>
    <xf numFmtId="3" fontId="4" fillId="37" borderId="93" xfId="0" applyNumberFormat="1" applyFont="1" applyFill="1" applyBorder="1" applyAlignment="1" applyProtection="1">
      <alignment vertical="center"/>
      <protection locked="0"/>
    </xf>
    <xf numFmtId="3" fontId="9" fillId="4" borderId="26" xfId="0" applyNumberFormat="1" applyFont="1" applyFill="1" applyBorder="1" applyAlignment="1" applyProtection="1">
      <alignment horizontal="right" vertical="center"/>
      <protection locked="0"/>
    </xf>
    <xf numFmtId="179" fontId="9" fillId="37" borderId="15" xfId="0" applyNumberFormat="1" applyFont="1" applyFill="1" applyBorder="1" applyAlignment="1" applyProtection="1">
      <alignment vertical="center"/>
      <protection locked="0"/>
    </xf>
    <xf numFmtId="179" fontId="9" fillId="37" borderId="87" xfId="0" applyNumberFormat="1" applyFont="1" applyFill="1" applyBorder="1" applyAlignment="1" applyProtection="1">
      <alignment vertical="center"/>
      <protection locked="0"/>
    </xf>
    <xf numFmtId="3" fontId="9" fillId="37" borderId="91" xfId="0" applyNumberFormat="1" applyFont="1" applyFill="1" applyBorder="1" applyAlignment="1" applyProtection="1">
      <alignment vertical="center"/>
      <protection locked="0"/>
    </xf>
    <xf numFmtId="49" fontId="36" fillId="37" borderId="5" xfId="0" applyNumberFormat="1" applyFont="1" applyFill="1" applyBorder="1" applyAlignment="1" applyProtection="1">
      <alignment horizontal="center" vertical="center" wrapText="1"/>
      <protection locked="0"/>
    </xf>
    <xf numFmtId="49" fontId="9" fillId="37" borderId="92" xfId="0" applyNumberFormat="1" applyFont="1" applyFill="1" applyBorder="1" applyAlignment="1" applyProtection="1">
      <alignment horizontal="center" vertical="center" wrapText="1"/>
      <protection locked="0"/>
    </xf>
    <xf numFmtId="49" fontId="9" fillId="4" borderId="30" xfId="0" applyNumberFormat="1" applyFont="1" applyFill="1" applyBorder="1" applyAlignment="1" applyProtection="1">
      <alignment horizontal="center" vertical="center" wrapText="1"/>
      <protection locked="0"/>
    </xf>
    <xf numFmtId="0" fontId="9" fillId="37" borderId="3" xfId="0" applyFont="1" applyFill="1" applyBorder="1" applyAlignment="1" applyProtection="1">
      <alignment horizontal="center" vertical="center" wrapText="1"/>
      <protection locked="0"/>
    </xf>
    <xf numFmtId="49" fontId="9" fillId="37" borderId="3" xfId="0" applyNumberFormat="1" applyFont="1" applyFill="1" applyBorder="1" applyAlignment="1" applyProtection="1">
      <alignment horizontal="center" vertical="center" wrapText="1"/>
      <protection locked="0"/>
    </xf>
    <xf numFmtId="49" fontId="9" fillId="0" borderId="22" xfId="0" applyNumberFormat="1" applyFont="1" applyBorder="1" applyAlignment="1" applyProtection="1">
      <alignment horizontal="center" vertical="center" wrapText="1"/>
      <protection locked="0"/>
    </xf>
    <xf numFmtId="3" fontId="30" fillId="4" borderId="12" xfId="0" applyNumberFormat="1" applyFont="1" applyFill="1" applyBorder="1" applyAlignment="1" applyProtection="1">
      <alignment horizontal="centerContinuous" vertical="center"/>
      <protection locked="0"/>
    </xf>
    <xf numFmtId="3" fontId="28" fillId="4" borderId="3" xfId="0" applyNumberFormat="1" applyFont="1" applyFill="1" applyBorder="1" applyAlignment="1" applyProtection="1">
      <alignment horizontal="center" vertical="center"/>
      <protection locked="0"/>
    </xf>
    <xf numFmtId="0" fontId="251" fillId="0" borderId="3" xfId="0" applyFont="1" applyBorder="1" applyAlignment="1" applyProtection="1">
      <alignment horizontal="center" vertical="center"/>
      <protection locked="0"/>
    </xf>
    <xf numFmtId="0" fontId="251" fillId="0" borderId="15" xfId="0" applyFont="1" applyBorder="1" applyAlignment="1" applyProtection="1">
      <alignment horizontal="center" vertical="center"/>
      <protection locked="0"/>
    </xf>
    <xf numFmtId="49" fontId="251" fillId="0" borderId="5" xfId="0" applyNumberFormat="1" applyFont="1" applyBorder="1" applyAlignment="1" applyProtection="1">
      <alignment horizontal="center" vertical="center" wrapText="1"/>
      <protection locked="0"/>
    </xf>
    <xf numFmtId="0" fontId="251" fillId="0" borderId="3" xfId="0" applyFont="1" applyBorder="1" applyAlignment="1" applyProtection="1">
      <alignment horizontal="center" vertical="center" wrapText="1"/>
      <protection locked="0"/>
    </xf>
    <xf numFmtId="0" fontId="251" fillId="0" borderId="15" xfId="0" applyFont="1" applyBorder="1" applyAlignment="1" applyProtection="1">
      <alignment horizontal="center" vertical="center" wrapText="1"/>
      <protection locked="0"/>
    </xf>
    <xf numFmtId="0" fontId="30" fillId="0" borderId="12" xfId="0" applyFont="1" applyBorder="1" applyAlignment="1" applyProtection="1">
      <alignment horizontal="center" vertical="center"/>
      <protection locked="0"/>
    </xf>
    <xf numFmtId="49" fontId="30" fillId="0" borderId="45" xfId="0" applyNumberFormat="1" applyFont="1" applyBorder="1" applyAlignment="1" applyProtection="1">
      <alignment vertical="center" wrapText="1"/>
      <protection locked="0"/>
    </xf>
    <xf numFmtId="49" fontId="30" fillId="0" borderId="12" xfId="0" applyNumberFormat="1" applyFont="1" applyBorder="1" applyAlignment="1" applyProtection="1">
      <alignment vertical="center" wrapText="1"/>
      <protection locked="0"/>
    </xf>
    <xf numFmtId="49" fontId="2" fillId="0" borderId="43" xfId="0" applyNumberFormat="1" applyFont="1" applyBorder="1" applyAlignment="1" applyProtection="1">
      <alignment horizontal="center" vertical="center" wrapText="1"/>
      <protection locked="0"/>
    </xf>
    <xf numFmtId="0" fontId="30" fillId="0" borderId="12" xfId="0" applyFont="1" applyBorder="1" applyAlignment="1" applyProtection="1">
      <alignment horizontal="justify" vertical="center" wrapText="1"/>
      <protection locked="0"/>
    </xf>
    <xf numFmtId="0" fontId="30" fillId="0" borderId="45" xfId="0" applyFont="1" applyBorder="1" applyAlignment="1" applyProtection="1">
      <alignment horizontal="center" vertical="center" wrapText="1"/>
      <protection locked="0"/>
    </xf>
    <xf numFmtId="0" fontId="30" fillId="0" borderId="12" xfId="0" applyFont="1" applyBorder="1" applyAlignment="1" applyProtection="1">
      <alignment vertical="center"/>
      <protection locked="0"/>
    </xf>
    <xf numFmtId="3" fontId="30" fillId="0" borderId="12" xfId="0" applyNumberFormat="1" applyFont="1" applyBorder="1" applyAlignment="1" applyProtection="1">
      <alignment vertical="center"/>
      <protection locked="0"/>
    </xf>
    <xf numFmtId="179" fontId="30" fillId="0" borderId="12" xfId="0" applyNumberFormat="1" applyFont="1" applyBorder="1" applyAlignment="1" applyProtection="1">
      <alignment vertical="center"/>
      <protection locked="0"/>
    </xf>
    <xf numFmtId="0" fontId="30" fillId="37" borderId="3" xfId="0" applyFont="1" applyFill="1" applyBorder="1" applyAlignment="1" applyProtection="1">
      <alignment horizontal="center" vertical="center"/>
      <protection locked="0"/>
    </xf>
    <xf numFmtId="49" fontId="30" fillId="37" borderId="15" xfId="0" applyNumberFormat="1" applyFont="1" applyFill="1" applyBorder="1" applyAlignment="1" applyProtection="1">
      <alignment horizontal="center" vertical="center" wrapText="1"/>
      <protection locked="0"/>
    </xf>
    <xf numFmtId="49" fontId="30" fillId="37" borderId="3" xfId="0" applyNumberFormat="1" applyFont="1" applyFill="1" applyBorder="1" applyAlignment="1" applyProtection="1">
      <alignment horizontal="center" vertical="center" wrapText="1"/>
      <protection locked="0"/>
    </xf>
    <xf numFmtId="0" fontId="30" fillId="0" borderId="7" xfId="0" applyFont="1" applyBorder="1" applyAlignment="1" applyProtection="1">
      <alignment horizontal="center" vertical="center"/>
      <protection locked="0"/>
    </xf>
    <xf numFmtId="49" fontId="30" fillId="0" borderId="22" xfId="0" applyNumberFormat="1" applyFont="1" applyBorder="1" applyAlignment="1" applyProtection="1">
      <alignment horizontal="center" vertical="center" wrapText="1"/>
      <protection locked="0"/>
    </xf>
    <xf numFmtId="49" fontId="30" fillId="0" borderId="7" xfId="0" applyNumberFormat="1" applyFont="1" applyBorder="1" applyAlignment="1" applyProtection="1">
      <alignment horizontal="center" vertical="center" wrapText="1"/>
      <protection locked="0"/>
    </xf>
    <xf numFmtId="49" fontId="2" fillId="0" borderId="24" xfId="0" applyNumberFormat="1" applyFont="1" applyBorder="1" applyAlignment="1" applyProtection="1">
      <alignment horizontal="center" vertical="center" wrapText="1"/>
      <protection locked="0"/>
    </xf>
    <xf numFmtId="49" fontId="30" fillId="0" borderId="7" xfId="0" applyNumberFormat="1" applyFont="1" applyBorder="1" applyAlignment="1" applyProtection="1">
      <alignment horizontal="left" vertical="center" wrapText="1"/>
      <protection locked="0"/>
    </xf>
    <xf numFmtId="0" fontId="30" fillId="0" borderId="22" xfId="0" applyFont="1" applyBorder="1" applyAlignment="1" applyProtection="1">
      <alignment horizontal="center" vertical="center" wrapText="1"/>
      <protection locked="0"/>
    </xf>
    <xf numFmtId="0" fontId="30" fillId="0" borderId="7" xfId="0" applyFont="1" applyBorder="1" applyAlignment="1" applyProtection="1">
      <alignment vertical="center"/>
      <protection locked="0"/>
    </xf>
    <xf numFmtId="3" fontId="30" fillId="0" borderId="7" xfId="0" applyNumberFormat="1" applyFont="1" applyBorder="1" applyAlignment="1" applyProtection="1">
      <alignment vertical="center"/>
      <protection locked="0"/>
    </xf>
    <xf numFmtId="179" fontId="30" fillId="0" borderId="7" xfId="0" applyNumberFormat="1" applyFont="1" applyBorder="1" applyAlignment="1" applyProtection="1">
      <alignment vertical="center"/>
      <protection locked="0"/>
    </xf>
    <xf numFmtId="0" fontId="252" fillId="0" borderId="7" xfId="0" applyFont="1" applyBorder="1" applyAlignment="1" applyProtection="1">
      <alignment vertical="center"/>
      <protection locked="0"/>
    </xf>
    <xf numFmtId="49" fontId="30" fillId="0" borderId="7" xfId="0" applyNumberFormat="1" applyFont="1" applyBorder="1" applyAlignment="1" applyProtection="1">
      <alignment horizontal="justify" vertical="center" wrapText="1"/>
      <protection locked="0"/>
    </xf>
    <xf numFmtId="49" fontId="30" fillId="37" borderId="89" xfId="0" applyNumberFormat="1" applyFont="1" applyFill="1" applyBorder="1" applyAlignment="1" applyProtection="1">
      <alignment horizontal="center" vertical="center" wrapText="1"/>
      <protection locked="0"/>
    </xf>
    <xf numFmtId="49" fontId="30" fillId="37" borderId="86" xfId="0" applyNumberFormat="1" applyFont="1" applyFill="1" applyBorder="1" applyAlignment="1" applyProtection="1">
      <alignment horizontal="center" vertical="center" wrapText="1"/>
      <protection locked="0"/>
    </xf>
    <xf numFmtId="49" fontId="30" fillId="0" borderId="7" xfId="0" applyNumberFormat="1" applyFont="1" applyBorder="1" applyAlignment="1" applyProtection="1">
      <alignment horizontal="right" vertical="center" wrapText="1"/>
      <protection locked="0"/>
    </xf>
    <xf numFmtId="0" fontId="30" fillId="37" borderId="83" xfId="0" applyFont="1" applyFill="1" applyBorder="1" applyAlignment="1" applyProtection="1">
      <alignment horizontal="center" vertical="center"/>
      <protection locked="0"/>
    </xf>
    <xf numFmtId="49" fontId="30" fillId="37" borderId="93" xfId="0" applyNumberFormat="1" applyFont="1" applyFill="1" applyBorder="1" applyAlignment="1" applyProtection="1">
      <alignment horizontal="center" vertical="center" wrapText="1"/>
      <protection locked="0"/>
    </xf>
    <xf numFmtId="49" fontId="30" fillId="37" borderId="90" xfId="0" applyNumberFormat="1" applyFont="1" applyFill="1" applyBorder="1" applyAlignment="1" applyProtection="1">
      <alignment horizontal="center" vertical="center" wrapText="1"/>
      <protection locked="0"/>
    </xf>
    <xf numFmtId="0" fontId="30" fillId="4" borderId="10" xfId="0" applyFont="1" applyFill="1" applyBorder="1" applyAlignment="1" applyProtection="1">
      <alignment horizontal="center" vertical="center"/>
      <protection locked="0"/>
    </xf>
    <xf numFmtId="49" fontId="30" fillId="4" borderId="26" xfId="0" applyNumberFormat="1" applyFont="1" applyFill="1" applyBorder="1" applyAlignment="1" applyProtection="1">
      <alignment vertical="center" wrapText="1"/>
      <protection locked="0"/>
    </xf>
    <xf numFmtId="49" fontId="30" fillId="4" borderId="10" xfId="0" applyNumberFormat="1" applyFont="1" applyFill="1" applyBorder="1" applyAlignment="1" applyProtection="1">
      <alignment vertical="center" wrapText="1"/>
      <protection locked="0"/>
    </xf>
    <xf numFmtId="0" fontId="9" fillId="4" borderId="26" xfId="0" applyFont="1" applyFill="1" applyBorder="1" applyAlignment="1" applyProtection="1">
      <alignment horizontal="center" vertical="center" wrapText="1"/>
      <protection locked="0"/>
    </xf>
    <xf numFmtId="3" fontId="9" fillId="4" borderId="10" xfId="0" applyNumberFormat="1" applyFont="1" applyFill="1" applyBorder="1" applyAlignment="1" applyProtection="1">
      <alignment vertical="center"/>
      <protection locked="0"/>
    </xf>
    <xf numFmtId="49" fontId="108" fillId="0" borderId="24" xfId="0" applyNumberFormat="1" applyFont="1" applyBorder="1" applyAlignment="1" applyProtection="1">
      <alignment horizontal="center" vertical="center" wrapText="1"/>
      <protection locked="0"/>
    </xf>
    <xf numFmtId="49" fontId="111" fillId="37" borderId="88" xfId="0" applyNumberFormat="1" applyFont="1" applyFill="1" applyBorder="1" applyAlignment="1" applyProtection="1">
      <alignment horizontal="center" vertical="center" wrapText="1"/>
      <protection locked="0"/>
    </xf>
    <xf numFmtId="49" fontId="111" fillId="37" borderId="5" xfId="0" applyNumberFormat="1" applyFont="1" applyFill="1" applyBorder="1" applyAlignment="1" applyProtection="1">
      <alignment horizontal="center" vertical="center" wrapText="1"/>
      <protection locked="0"/>
    </xf>
    <xf numFmtId="49" fontId="111" fillId="0" borderId="24" xfId="0" applyNumberFormat="1" applyFont="1" applyBorder="1" applyAlignment="1" applyProtection="1">
      <alignment horizontal="center" vertical="center" wrapText="1"/>
      <protection locked="0"/>
    </xf>
    <xf numFmtId="4" fontId="29" fillId="0" borderId="0" xfId="0" applyNumberFormat="1" applyFont="1" applyAlignment="1">
      <alignment horizontal="center" vertical="center"/>
    </xf>
    <xf numFmtId="0" fontId="44" fillId="0" borderId="45" xfId="0" applyFont="1" applyBorder="1" applyAlignment="1">
      <alignment horizontal="center" vertical="center" wrapText="1"/>
    </xf>
    <xf numFmtId="0" fontId="44" fillId="0" borderId="12" xfId="0" applyFont="1" applyBorder="1" applyAlignment="1">
      <alignment horizontal="center" vertical="center" wrapText="1"/>
    </xf>
    <xf numFmtId="49" fontId="7" fillId="0" borderId="0" xfId="0" applyNumberFormat="1" applyFont="1" applyAlignment="1">
      <alignment horizontal="center" vertical="center"/>
    </xf>
    <xf numFmtId="0" fontId="245" fillId="0" borderId="24" xfId="0" applyFont="1" applyBorder="1" applyAlignment="1" applyProtection="1">
      <alignment horizontal="center" vertical="center"/>
      <protection locked="0"/>
    </xf>
    <xf numFmtId="3" fontId="245" fillId="0" borderId="22" xfId="0" applyNumberFormat="1" applyFont="1" applyBorder="1" applyAlignment="1" applyProtection="1">
      <alignment vertical="center"/>
      <protection locked="0"/>
    </xf>
    <xf numFmtId="166" fontId="245" fillId="0" borderId="7" xfId="0" applyNumberFormat="1" applyFont="1" applyBorder="1" applyAlignment="1" applyProtection="1">
      <alignment vertical="center"/>
      <protection locked="0"/>
    </xf>
    <xf numFmtId="0" fontId="245" fillId="0" borderId="7" xfId="0" applyFont="1" applyBorder="1" applyAlignment="1" applyProtection="1">
      <alignment vertical="center"/>
      <protection locked="0"/>
    </xf>
    <xf numFmtId="49" fontId="245" fillId="0" borderId="24" xfId="0" applyNumberFormat="1" applyFont="1" applyBorder="1" applyAlignment="1" applyProtection="1">
      <alignment horizontal="center" vertical="center" wrapText="1"/>
      <protection locked="0"/>
    </xf>
    <xf numFmtId="0" fontId="245" fillId="0" borderId="7" xfId="0" applyFont="1" applyBorder="1" applyAlignment="1" applyProtection="1">
      <alignment horizontal="center" vertical="center"/>
      <protection locked="0"/>
    </xf>
    <xf numFmtId="49" fontId="245" fillId="0" borderId="22" xfId="0" applyNumberFormat="1" applyFont="1" applyBorder="1" applyAlignment="1" applyProtection="1">
      <alignment horizontal="center" vertical="center" wrapText="1"/>
      <protection locked="0"/>
    </xf>
    <xf numFmtId="49" fontId="245" fillId="0" borderId="7" xfId="0" applyNumberFormat="1" applyFont="1" applyBorder="1" applyAlignment="1" applyProtection="1">
      <alignment horizontal="center" vertical="center" wrapText="1"/>
      <protection locked="0"/>
    </xf>
    <xf numFmtId="0" fontId="245" fillId="0" borderId="22" xfId="0" applyFont="1" applyBorder="1" applyAlignment="1" applyProtection="1">
      <alignment horizontal="center" vertical="center" wrapText="1"/>
      <protection locked="0"/>
    </xf>
    <xf numFmtId="3" fontId="245" fillId="0" borderId="7" xfId="0" applyNumberFormat="1" applyFont="1" applyBorder="1" applyAlignment="1" applyProtection="1">
      <alignment vertical="center"/>
      <protection locked="0"/>
    </xf>
    <xf numFmtId="179" fontId="245" fillId="0" borderId="7" xfId="0" applyNumberFormat="1" applyFont="1" applyBorder="1" applyAlignment="1" applyProtection="1">
      <alignment vertical="center"/>
      <protection locked="0"/>
    </xf>
    <xf numFmtId="0" fontId="245" fillId="0" borderId="7" xfId="0" applyFont="1" applyBorder="1" applyAlignment="1" applyProtection="1">
      <alignment horizontal="left" vertical="center" wrapText="1"/>
      <protection locked="0"/>
    </xf>
    <xf numFmtId="0" fontId="29" fillId="0" borderId="12" xfId="0" applyFont="1" applyBorder="1" applyAlignment="1">
      <alignment horizontal="center" vertical="center" wrapText="1"/>
    </xf>
    <xf numFmtId="0" fontId="246" fillId="0" borderId="100" xfId="0" applyFont="1" applyBorder="1" applyAlignment="1">
      <alignment horizontal="center" vertical="center" wrapText="1"/>
    </xf>
    <xf numFmtId="0" fontId="246" fillId="0" borderId="101" xfId="0" applyFont="1" applyBorder="1" applyAlignment="1">
      <alignment horizontal="center" vertical="center"/>
    </xf>
    <xf numFmtId="0" fontId="246" fillId="0" borderId="101" xfId="0" applyFont="1" applyBorder="1" applyAlignment="1">
      <alignment horizontal="center" vertical="center" wrapText="1"/>
    </xf>
    <xf numFmtId="0" fontId="246" fillId="0" borderId="101" xfId="0" applyFont="1" applyBorder="1" applyAlignment="1">
      <alignment horizontal="left" vertical="center" wrapText="1"/>
    </xf>
    <xf numFmtId="0" fontId="246" fillId="0" borderId="101" xfId="0" applyFont="1" applyBorder="1" applyAlignment="1">
      <alignment horizontal="right" vertical="center"/>
    </xf>
    <xf numFmtId="3" fontId="246" fillId="0" borderId="101" xfId="0" applyNumberFormat="1" applyFont="1" applyBorder="1" applyAlignment="1">
      <alignment horizontal="right" vertical="center"/>
    </xf>
    <xf numFmtId="4" fontId="246" fillId="0" borderId="101" xfId="0" applyNumberFormat="1" applyFont="1" applyBorder="1" applyAlignment="1">
      <alignment horizontal="right" vertical="center"/>
    </xf>
    <xf numFmtId="4" fontId="246" fillId="0" borderId="102" xfId="0" applyNumberFormat="1" applyFont="1" applyBorder="1" applyAlignment="1">
      <alignment horizontal="right" vertical="center"/>
    </xf>
    <xf numFmtId="0" fontId="246" fillId="0" borderId="103" xfId="0" applyFont="1" applyBorder="1" applyAlignment="1">
      <alignment horizontal="center" vertical="center" wrapText="1"/>
    </xf>
    <xf numFmtId="0" fontId="246" fillId="0" borderId="104" xfId="0" applyFont="1" applyBorder="1" applyAlignment="1">
      <alignment horizontal="center" vertical="center"/>
    </xf>
    <xf numFmtId="0" fontId="246" fillId="0" borderId="104" xfId="0" applyFont="1" applyBorder="1" applyAlignment="1">
      <alignment horizontal="center" vertical="center" wrapText="1"/>
    </xf>
    <xf numFmtId="0" fontId="246" fillId="0" borderId="104" xfId="0" applyFont="1" applyBorder="1" applyAlignment="1">
      <alignment horizontal="left" vertical="center" wrapText="1"/>
    </xf>
    <xf numFmtId="0" fontId="246" fillId="0" borderId="104" xfId="0" applyFont="1" applyBorder="1" applyAlignment="1">
      <alignment horizontal="right" vertical="center"/>
    </xf>
    <xf numFmtId="3" fontId="246" fillId="0" borderId="104" xfId="0" applyNumberFormat="1" applyFont="1" applyBorder="1" applyAlignment="1">
      <alignment horizontal="right" vertical="center"/>
    </xf>
    <xf numFmtId="4" fontId="246" fillId="0" borderId="104" xfId="0" applyNumberFormat="1" applyFont="1" applyBorder="1" applyAlignment="1">
      <alignment horizontal="right" vertical="center"/>
    </xf>
    <xf numFmtId="4" fontId="246" fillId="0" borderId="105" xfId="0" applyNumberFormat="1" applyFont="1" applyBorder="1" applyAlignment="1">
      <alignment horizontal="right" vertical="center"/>
    </xf>
    <xf numFmtId="0" fontId="246" fillId="0" borderId="106" xfId="0" applyFont="1" applyBorder="1" applyAlignment="1">
      <alignment horizontal="center" vertical="center" wrapText="1"/>
    </xf>
    <xf numFmtId="0" fontId="246" fillId="0" borderId="107" xfId="0" applyFont="1" applyBorder="1" applyAlignment="1">
      <alignment horizontal="center" vertical="center"/>
    </xf>
    <xf numFmtId="0" fontId="246" fillId="0" borderId="107" xfId="0" applyFont="1" applyBorder="1" applyAlignment="1">
      <alignment horizontal="center" vertical="center" wrapText="1"/>
    </xf>
    <xf numFmtId="0" fontId="246" fillId="0" borderId="107" xfId="0" applyFont="1" applyBorder="1" applyAlignment="1">
      <alignment horizontal="right" vertical="center"/>
    </xf>
    <xf numFmtId="3" fontId="246" fillId="0" borderId="107" xfId="0" applyNumberFormat="1" applyFont="1" applyBorder="1" applyAlignment="1">
      <alignment horizontal="right" vertical="center"/>
    </xf>
    <xf numFmtId="4" fontId="246" fillId="0" borderId="107" xfId="0" applyNumberFormat="1" applyFont="1" applyBorder="1" applyAlignment="1">
      <alignment horizontal="right" vertical="center"/>
    </xf>
    <xf numFmtId="4" fontId="246" fillId="0" borderId="108" xfId="0" applyNumberFormat="1" applyFont="1" applyBorder="1" applyAlignment="1">
      <alignment horizontal="right" vertical="center"/>
    </xf>
    <xf numFmtId="0" fontId="244" fillId="0" borderId="104" xfId="0" applyFont="1" applyBorder="1" applyAlignment="1">
      <alignment horizontal="left" vertical="center" wrapText="1"/>
    </xf>
    <xf numFmtId="3" fontId="244" fillId="0" borderId="104" xfId="0" applyNumberFormat="1" applyFont="1" applyBorder="1" applyAlignment="1">
      <alignment horizontal="right" vertical="center"/>
    </xf>
    <xf numFmtId="0" fontId="243" fillId="0" borderId="104" xfId="0" applyFont="1" applyBorder="1" applyAlignment="1">
      <alignment horizontal="center" vertical="center" wrapText="1"/>
    </xf>
    <xf numFmtId="0" fontId="247" fillId="0" borderId="104" xfId="0" applyFont="1" applyBorder="1" applyAlignment="1">
      <alignment horizontal="right" vertical="center"/>
    </xf>
    <xf numFmtId="3" fontId="243" fillId="0" borderId="104" xfId="0" applyNumberFormat="1" applyFont="1" applyBorder="1" applyAlignment="1">
      <alignment horizontal="right" vertical="center"/>
    </xf>
    <xf numFmtId="0" fontId="243" fillId="0" borderId="104" xfId="0" applyFont="1" applyBorder="1" applyAlignment="1">
      <alignment horizontal="right" vertical="center"/>
    </xf>
    <xf numFmtId="0" fontId="247" fillId="0" borderId="104" xfId="0" applyFont="1" applyBorder="1" applyAlignment="1">
      <alignment horizontal="center" vertical="center"/>
    </xf>
    <xf numFmtId="3" fontId="254" fillId="0" borderId="7" xfId="0" applyNumberFormat="1" applyFont="1" applyBorder="1" applyAlignment="1" applyProtection="1">
      <alignment vertical="center"/>
      <protection locked="0"/>
    </xf>
    <xf numFmtId="0" fontId="246" fillId="0" borderId="104" xfId="0" applyFont="1" applyBorder="1" applyAlignment="1">
      <alignment horizontal="right" vertical="center" wrapText="1"/>
    </xf>
    <xf numFmtId="3" fontId="244" fillId="0" borderId="107" xfId="0" applyNumberFormat="1" applyFont="1" applyBorder="1" applyAlignment="1">
      <alignment horizontal="right" vertical="center"/>
    </xf>
    <xf numFmtId="0" fontId="244" fillId="0" borderId="107" xfId="0" applyFont="1" applyBorder="1" applyAlignment="1">
      <alignment horizontal="left" vertical="center" wrapText="1"/>
    </xf>
    <xf numFmtId="3" fontId="245" fillId="0" borderId="94" xfId="0" applyNumberFormat="1" applyFont="1" applyBorder="1" applyAlignment="1" applyProtection="1">
      <alignment vertical="center"/>
      <protection locked="0"/>
    </xf>
    <xf numFmtId="0" fontId="245" fillId="0" borderId="29" xfId="0" applyFont="1" applyBorder="1" applyAlignment="1" applyProtection="1">
      <alignment vertical="center"/>
      <protection locked="0"/>
    </xf>
    <xf numFmtId="49" fontId="245" fillId="0" borderId="94" xfId="0" applyNumberFormat="1" applyFont="1" applyBorder="1" applyAlignment="1" applyProtection="1">
      <alignment horizontal="center" vertical="center" wrapText="1"/>
      <protection locked="0"/>
    </xf>
    <xf numFmtId="0" fontId="245" fillId="0" borderId="94" xfId="0" applyFont="1" applyBorder="1" applyAlignment="1" applyProtection="1">
      <alignment horizontal="center" vertical="center" wrapText="1"/>
      <protection locked="0"/>
    </xf>
    <xf numFmtId="0" fontId="245" fillId="0" borderId="99" xfId="0" applyFont="1" applyBorder="1" applyAlignment="1" applyProtection="1">
      <alignment horizontal="center" vertical="center"/>
      <protection locked="0"/>
    </xf>
    <xf numFmtId="0" fontId="245" fillId="0" borderId="95" xfId="0" applyFont="1" applyBorder="1" applyAlignment="1" applyProtection="1">
      <alignment horizontal="center" vertical="center"/>
      <protection locked="0"/>
    </xf>
    <xf numFmtId="49" fontId="245" fillId="0" borderId="95" xfId="0" applyNumberFormat="1" applyFont="1" applyBorder="1" applyAlignment="1" applyProtection="1">
      <alignment horizontal="center" vertical="center" wrapText="1"/>
      <protection locked="0"/>
    </xf>
    <xf numFmtId="49" fontId="245" fillId="0" borderId="99" xfId="0" applyNumberFormat="1" applyFont="1" applyBorder="1" applyAlignment="1" applyProtection="1">
      <alignment horizontal="center" vertical="center" wrapText="1"/>
      <protection locked="0"/>
    </xf>
    <xf numFmtId="213" fontId="245" fillId="0" borderId="95" xfId="0" applyNumberFormat="1" applyFont="1" applyBorder="1" applyAlignment="1" applyProtection="1">
      <alignment vertical="center"/>
      <protection locked="0"/>
    </xf>
    <xf numFmtId="3" fontId="245" fillId="0" borderId="95" xfId="0" applyNumberFormat="1" applyFont="1" applyBorder="1" applyAlignment="1" applyProtection="1">
      <alignment vertical="center"/>
      <protection locked="0"/>
    </xf>
    <xf numFmtId="179" fontId="245" fillId="0" borderId="95" xfId="0" applyNumberFormat="1" applyFont="1" applyBorder="1" applyAlignment="1" applyProtection="1">
      <alignment vertical="center"/>
      <protection locked="0"/>
    </xf>
    <xf numFmtId="166" fontId="245" fillId="0" borderId="95" xfId="0" applyNumberFormat="1" applyFont="1" applyBorder="1" applyAlignment="1" applyProtection="1">
      <alignment vertical="center"/>
      <protection locked="0"/>
    </xf>
    <xf numFmtId="0" fontId="245" fillId="0" borderId="95" xfId="0" applyFont="1" applyBorder="1" applyAlignment="1" applyProtection="1">
      <alignment vertical="center"/>
      <protection locked="0"/>
    </xf>
    <xf numFmtId="0" fontId="245" fillId="0" borderId="95" xfId="0" applyFont="1" applyBorder="1" applyAlignment="1" applyProtection="1">
      <alignment horizontal="left" vertical="center" wrapText="1"/>
      <protection locked="0"/>
    </xf>
    <xf numFmtId="0" fontId="244" fillId="0" borderId="106" xfId="0" applyFont="1" applyBorder="1" applyAlignment="1">
      <alignment horizontal="center" vertical="center" wrapText="1"/>
    </xf>
    <xf numFmtId="0" fontId="244" fillId="0" borderId="107" xfId="0" applyFont="1" applyBorder="1" applyAlignment="1">
      <alignment horizontal="center" vertical="center"/>
    </xf>
    <xf numFmtId="0" fontId="244" fillId="0" borderId="107" xfId="0" applyFont="1" applyBorder="1" applyAlignment="1">
      <alignment horizontal="center" vertical="center" wrapText="1"/>
    </xf>
    <xf numFmtId="0" fontId="246" fillId="0" borderId="111" xfId="0" applyFont="1" applyBorder="1" applyAlignment="1">
      <alignment horizontal="center" vertical="center" wrapText="1"/>
    </xf>
    <xf numFmtId="0" fontId="246" fillId="0" borderId="111" xfId="0" applyFont="1" applyBorder="1" applyAlignment="1">
      <alignment horizontal="center" vertical="center"/>
    </xf>
    <xf numFmtId="0" fontId="246" fillId="0" borderId="111" xfId="0" applyFont="1" applyBorder="1" applyAlignment="1">
      <alignment horizontal="right" vertical="center" wrapText="1"/>
    </xf>
    <xf numFmtId="3" fontId="246" fillId="0" borderId="111" xfId="0" applyNumberFormat="1" applyFont="1" applyBorder="1" applyAlignment="1">
      <alignment horizontal="right" vertical="center"/>
    </xf>
    <xf numFmtId="0" fontId="246" fillId="0" borderId="111" xfId="0" applyFont="1" applyBorder="1" applyAlignment="1">
      <alignment horizontal="right" vertical="center"/>
    </xf>
    <xf numFmtId="4" fontId="246" fillId="0" borderId="111" xfId="0" applyNumberFormat="1" applyFont="1" applyBorder="1" applyAlignment="1">
      <alignment horizontal="right" vertical="center"/>
    </xf>
    <xf numFmtId="0" fontId="246" fillId="0" borderId="97" xfId="0" applyFont="1" applyBorder="1" applyAlignment="1">
      <alignment horizontal="center" vertical="center" wrapText="1"/>
    </xf>
    <xf numFmtId="0" fontId="246" fillId="0" borderId="97" xfId="0" applyFont="1" applyBorder="1" applyAlignment="1">
      <alignment horizontal="center" vertical="center"/>
    </xf>
    <xf numFmtId="0" fontId="244" fillId="0" borderId="97" xfId="0" applyFont="1" applyBorder="1" applyAlignment="1">
      <alignment horizontal="left" vertical="center" wrapText="1"/>
    </xf>
    <xf numFmtId="0" fontId="246" fillId="0" borderId="97" xfId="0" applyFont="1" applyBorder="1" applyAlignment="1">
      <alignment horizontal="right" vertical="center" wrapText="1"/>
    </xf>
    <xf numFmtId="3" fontId="246" fillId="0" borderId="97" xfId="0" applyNumberFormat="1" applyFont="1" applyBorder="1" applyAlignment="1">
      <alignment horizontal="right" vertical="center"/>
    </xf>
    <xf numFmtId="0" fontId="246" fillId="0" borderId="97" xfId="0" applyFont="1" applyBorder="1" applyAlignment="1">
      <alignment horizontal="right" vertical="center"/>
    </xf>
    <xf numFmtId="3" fontId="244" fillId="0" borderId="97" xfId="0" applyNumberFormat="1" applyFont="1" applyBorder="1" applyAlignment="1">
      <alignment horizontal="right" vertical="center"/>
    </xf>
    <xf numFmtId="4" fontId="246" fillId="0" borderId="97" xfId="0" applyNumberFormat="1" applyFont="1" applyBorder="1" applyAlignment="1">
      <alignment horizontal="right" vertical="center"/>
    </xf>
    <xf numFmtId="0" fontId="246" fillId="0" borderId="98" xfId="0" applyFont="1" applyBorder="1" applyAlignment="1">
      <alignment horizontal="center" vertical="center" wrapText="1"/>
    </xf>
    <xf numFmtId="0" fontId="246" fillId="0" borderId="98" xfId="0" applyFont="1" applyBorder="1" applyAlignment="1">
      <alignment horizontal="center" vertical="center"/>
    </xf>
    <xf numFmtId="0" fontId="244" fillId="0" borderId="98" xfId="0" applyFont="1" applyBorder="1" applyAlignment="1">
      <alignment horizontal="left" vertical="center" wrapText="1"/>
    </xf>
    <xf numFmtId="3" fontId="246" fillId="0" borderId="98" xfId="0" applyNumberFormat="1" applyFont="1" applyBorder="1" applyAlignment="1">
      <alignment horizontal="right" vertical="center"/>
    </xf>
    <xf numFmtId="0" fontId="246" fillId="0" borderId="98" xfId="0" applyFont="1" applyBorder="1" applyAlignment="1">
      <alignment horizontal="right" vertical="center"/>
    </xf>
    <xf numFmtId="3" fontId="244" fillId="0" borderId="98" xfId="0" applyNumberFormat="1" applyFont="1" applyBorder="1" applyAlignment="1">
      <alignment horizontal="right" vertical="center"/>
    </xf>
    <xf numFmtId="4" fontId="246" fillId="0" borderId="98" xfId="0" applyNumberFormat="1" applyFont="1" applyBorder="1" applyAlignment="1">
      <alignment horizontal="right" vertical="center"/>
    </xf>
    <xf numFmtId="0" fontId="246" fillId="0" borderId="111" xfId="0" applyFont="1" applyBorder="1" applyAlignment="1">
      <alignment horizontal="left" vertical="center" wrapText="1"/>
    </xf>
    <xf numFmtId="0" fontId="246" fillId="0" borderId="97" xfId="0" applyFont="1" applyBorder="1" applyAlignment="1">
      <alignment horizontal="left" vertical="center" wrapText="1"/>
    </xf>
    <xf numFmtId="0" fontId="243" fillId="0" borderId="97" xfId="0" applyFont="1" applyBorder="1" applyAlignment="1">
      <alignment horizontal="center" vertical="center" wrapText="1"/>
    </xf>
    <xf numFmtId="0" fontId="247" fillId="0" borderId="97" xfId="0" applyFont="1" applyBorder="1" applyAlignment="1">
      <alignment horizontal="right" vertical="center" wrapText="1"/>
    </xf>
    <xf numFmtId="3" fontId="243" fillId="0" borderId="97" xfId="0" applyNumberFormat="1" applyFont="1" applyBorder="1" applyAlignment="1">
      <alignment horizontal="right" vertical="center"/>
    </xf>
    <xf numFmtId="0" fontId="243" fillId="0" borderId="97" xfId="0" applyFont="1" applyBorder="1" applyAlignment="1">
      <alignment horizontal="right" vertical="center"/>
    </xf>
    <xf numFmtId="0" fontId="247" fillId="0" borderId="97" xfId="0" applyFont="1" applyBorder="1" applyAlignment="1">
      <alignment horizontal="center" vertical="center" wrapText="1"/>
    </xf>
    <xf numFmtId="3" fontId="254" fillId="0" borderId="95" xfId="0" applyNumberFormat="1" applyFont="1" applyBorder="1" applyAlignment="1" applyProtection="1">
      <alignment vertical="center"/>
      <protection locked="0"/>
    </xf>
    <xf numFmtId="0" fontId="244" fillId="0" borderId="98" xfId="0" applyFont="1" applyBorder="1" applyAlignment="1">
      <alignment horizontal="center" vertical="center" wrapText="1"/>
    </xf>
    <xf numFmtId="0" fontId="244" fillId="0" borderId="98" xfId="0" applyFont="1" applyBorder="1" applyAlignment="1">
      <alignment horizontal="center" vertical="center"/>
    </xf>
    <xf numFmtId="0" fontId="246" fillId="0" borderId="112" xfId="0" applyFont="1" applyBorder="1" applyAlignment="1">
      <alignment horizontal="center" vertical="center" wrapText="1"/>
    </xf>
    <xf numFmtId="0" fontId="246" fillId="0" borderId="113" xfId="0" applyFont="1" applyBorder="1" applyAlignment="1">
      <alignment horizontal="center" vertical="center"/>
    </xf>
    <xf numFmtId="0" fontId="246" fillId="0" borderId="113" xfId="0" applyFont="1" applyBorder="1" applyAlignment="1">
      <alignment horizontal="center" vertical="center" wrapText="1"/>
    </xf>
    <xf numFmtId="0" fontId="246" fillId="0" borderId="113" xfId="0" applyFont="1" applyBorder="1" applyAlignment="1">
      <alignment horizontal="right" vertical="center" wrapText="1"/>
    </xf>
    <xf numFmtId="3" fontId="246" fillId="0" borderId="113" xfId="0" applyNumberFormat="1" applyFont="1" applyBorder="1" applyAlignment="1">
      <alignment horizontal="right" vertical="center"/>
    </xf>
    <xf numFmtId="0" fontId="246" fillId="0" borderId="113" xfId="0" applyFont="1" applyBorder="1" applyAlignment="1">
      <alignment horizontal="right" vertical="center"/>
    </xf>
    <xf numFmtId="4" fontId="246" fillId="0" borderId="113" xfId="0" applyNumberFormat="1" applyFont="1" applyBorder="1" applyAlignment="1">
      <alignment horizontal="right" vertical="center"/>
    </xf>
    <xf numFmtId="4" fontId="246" fillId="0" borderId="114" xfId="0" applyNumberFormat="1" applyFont="1" applyBorder="1" applyAlignment="1">
      <alignment horizontal="right" vertical="center"/>
    </xf>
    <xf numFmtId="0" fontId="246" fillId="0" borderId="113" xfId="0" applyFont="1" applyBorder="1" applyAlignment="1">
      <alignment horizontal="left" vertical="center" wrapText="1"/>
    </xf>
    <xf numFmtId="0" fontId="247" fillId="0" borderId="104" xfId="0" applyFont="1" applyBorder="1" applyAlignment="1">
      <alignment horizontal="right" vertical="center" wrapText="1"/>
    </xf>
    <xf numFmtId="0" fontId="247" fillId="0" borderId="104" xfId="0" applyFont="1" applyBorder="1" applyAlignment="1">
      <alignment horizontal="center" vertical="center" wrapText="1"/>
    </xf>
    <xf numFmtId="213" fontId="245" fillId="0" borderId="7" xfId="0" applyNumberFormat="1" applyFont="1" applyBorder="1" applyAlignment="1" applyProtection="1">
      <alignment vertical="center"/>
      <protection locked="0"/>
    </xf>
    <xf numFmtId="0" fontId="44" fillId="0" borderId="22" xfId="0" applyFont="1" applyBorder="1" applyAlignment="1">
      <alignment horizontal="center" vertical="center" wrapText="1"/>
    </xf>
    <xf numFmtId="0" fontId="44" fillId="0" borderId="7" xfId="0" applyFont="1" applyBorder="1" applyAlignment="1">
      <alignment horizontal="center" vertical="center"/>
    </xf>
    <xf numFmtId="0" fontId="44" fillId="0" borderId="7" xfId="0" applyFont="1" applyBorder="1" applyAlignment="1">
      <alignment horizontal="center" vertical="center" wrapText="1"/>
    </xf>
    <xf numFmtId="0" fontId="29" fillId="0" borderId="7" xfId="0" applyFont="1" applyBorder="1" applyAlignment="1">
      <alignment horizontal="center" vertical="center" wrapText="1"/>
    </xf>
    <xf numFmtId="0" fontId="255" fillId="0" borderId="95" xfId="0" applyFont="1" applyBorder="1" applyAlignment="1" applyProtection="1">
      <alignment vertical="center"/>
      <protection locked="0"/>
    </xf>
    <xf numFmtId="0" fontId="245" fillId="0" borderId="109" xfId="0" applyFont="1" applyBorder="1" applyAlignment="1" applyProtection="1">
      <alignment horizontal="center" vertical="center"/>
      <protection locked="0"/>
    </xf>
    <xf numFmtId="0" fontId="245" fillId="0" borderId="97" xfId="0" applyFont="1" applyBorder="1" applyAlignment="1" applyProtection="1">
      <alignment horizontal="center" vertical="center"/>
      <protection locked="0"/>
    </xf>
    <xf numFmtId="49" fontId="245" fillId="0" borderId="110" xfId="0" applyNumberFormat="1" applyFont="1" applyBorder="1" applyAlignment="1" applyProtection="1">
      <alignment horizontal="center" vertical="center" wrapText="1"/>
      <protection locked="0"/>
    </xf>
    <xf numFmtId="49" fontId="245" fillId="0" borderId="97" xfId="0" applyNumberFormat="1" applyFont="1" applyBorder="1" applyAlignment="1" applyProtection="1">
      <alignment horizontal="center" vertical="center" wrapText="1"/>
      <protection locked="0"/>
    </xf>
    <xf numFmtId="49" fontId="245" fillId="0" borderId="109" xfId="0" applyNumberFormat="1" applyFont="1" applyBorder="1" applyAlignment="1" applyProtection="1">
      <alignment horizontal="center" vertical="center" wrapText="1"/>
      <protection locked="0"/>
    </xf>
    <xf numFmtId="0" fontId="245" fillId="0" borderId="110" xfId="0" applyFont="1" applyBorder="1" applyAlignment="1" applyProtection="1">
      <alignment horizontal="center" vertical="center" wrapText="1"/>
      <protection locked="0"/>
    </xf>
    <xf numFmtId="0" fontId="245" fillId="0" borderId="97" xfId="0" applyFont="1" applyBorder="1" applyAlignment="1" applyProtection="1">
      <alignment vertical="center"/>
      <protection locked="0"/>
    </xf>
    <xf numFmtId="3" fontId="245" fillId="0" borderId="97" xfId="0" applyNumberFormat="1" applyFont="1" applyBorder="1" applyAlignment="1" applyProtection="1">
      <alignment vertical="center"/>
      <protection locked="0"/>
    </xf>
    <xf numFmtId="179" fontId="245" fillId="0" borderId="97" xfId="0" applyNumberFormat="1" applyFont="1" applyBorder="1" applyAlignment="1" applyProtection="1">
      <alignment vertical="center"/>
      <protection locked="0"/>
    </xf>
    <xf numFmtId="3" fontId="245" fillId="0" borderId="110" xfId="0" applyNumberFormat="1" applyFont="1" applyBorder="1" applyAlignment="1" applyProtection="1">
      <alignment vertical="center"/>
      <protection locked="0"/>
    </xf>
    <xf numFmtId="166" fontId="245" fillId="0" borderId="97" xfId="0" applyNumberFormat="1" applyFont="1" applyBorder="1" applyAlignment="1" applyProtection="1">
      <alignment vertical="center"/>
      <protection locked="0"/>
    </xf>
    <xf numFmtId="0" fontId="245" fillId="0" borderId="97" xfId="0" applyFont="1" applyBorder="1" applyAlignment="1" applyProtection="1">
      <alignment horizontal="left" vertical="center" wrapText="1"/>
      <protection locked="0"/>
    </xf>
    <xf numFmtId="3" fontId="254" fillId="0" borderId="97" xfId="0" applyNumberFormat="1" applyFont="1" applyBorder="1" applyAlignment="1" applyProtection="1">
      <alignment vertical="center"/>
      <protection locked="0"/>
    </xf>
    <xf numFmtId="49" fontId="246" fillId="0" borderId="101" xfId="0" applyNumberFormat="1" applyFont="1" applyBorder="1" applyAlignment="1">
      <alignment horizontal="center" vertical="center"/>
    </xf>
    <xf numFmtId="49" fontId="246" fillId="0" borderId="111" xfId="0" applyNumberFormat="1" applyFont="1" applyBorder="1" applyAlignment="1">
      <alignment horizontal="center" vertical="center"/>
    </xf>
    <xf numFmtId="49" fontId="246" fillId="0" borderId="113" xfId="0" applyNumberFormat="1" applyFont="1" applyBorder="1" applyAlignment="1">
      <alignment horizontal="center" vertical="center"/>
    </xf>
    <xf numFmtId="0" fontId="247" fillId="0" borderId="97" xfId="0" applyFont="1" applyBorder="1" applyAlignment="1">
      <alignment horizontal="center" vertical="center"/>
    </xf>
    <xf numFmtId="0" fontId="255" fillId="0" borderId="97" xfId="0" applyFont="1" applyBorder="1" applyAlignment="1" applyProtection="1">
      <alignment vertical="center"/>
      <protection locked="0"/>
    </xf>
    <xf numFmtId="0" fontId="246" fillId="0" borderId="96" xfId="0" applyFont="1" applyBorder="1" applyAlignment="1">
      <alignment horizontal="center" vertical="center" wrapText="1"/>
    </xf>
    <xf numFmtId="0" fontId="246" fillId="0" borderId="96" xfId="0" applyFont="1" applyBorder="1" applyAlignment="1">
      <alignment horizontal="center" vertical="center"/>
    </xf>
    <xf numFmtId="0" fontId="246" fillId="0" borderId="96" xfId="0" applyFont="1" applyBorder="1" applyAlignment="1">
      <alignment horizontal="right" vertical="center" wrapText="1"/>
    </xf>
    <xf numFmtId="3" fontId="246" fillId="0" borderId="96" xfId="0" applyNumberFormat="1" applyFont="1" applyBorder="1" applyAlignment="1">
      <alignment horizontal="right" vertical="center"/>
    </xf>
    <xf numFmtId="0" fontId="246" fillId="0" borderId="96" xfId="0" applyFont="1" applyBorder="1" applyAlignment="1">
      <alignment horizontal="right" vertical="center"/>
    </xf>
    <xf numFmtId="4" fontId="246" fillId="0" borderId="96" xfId="0" applyNumberFormat="1" applyFont="1" applyBorder="1" applyAlignment="1">
      <alignment horizontal="right" vertical="center"/>
    </xf>
    <xf numFmtId="0" fontId="246" fillId="0" borderId="96" xfId="0" applyFont="1" applyBorder="1" applyAlignment="1">
      <alignment horizontal="left" vertical="center" wrapText="1"/>
    </xf>
    <xf numFmtId="4" fontId="16" fillId="0" borderId="0" xfId="0" applyNumberFormat="1" applyFont="1" applyAlignment="1">
      <alignment vertical="center"/>
    </xf>
    <xf numFmtId="179" fontId="16" fillId="0" borderId="0" xfId="0" applyNumberFormat="1" applyFont="1" applyAlignment="1">
      <alignment vertical="center"/>
    </xf>
    <xf numFmtId="0" fontId="29" fillId="0" borderId="97" xfId="0" applyFont="1" applyBorder="1" applyAlignment="1">
      <alignment horizontal="center" vertical="center" wrapText="1"/>
    </xf>
    <xf numFmtId="0" fontId="29" fillId="0" borderId="98" xfId="0" applyFont="1" applyBorder="1" applyAlignment="1">
      <alignment horizontal="center" vertical="center" wrapText="1"/>
    </xf>
    <xf numFmtId="3" fontId="256" fillId="0" borderId="104" xfId="0" applyNumberFormat="1" applyFont="1" applyBorder="1" applyAlignment="1">
      <alignment horizontal="right" vertical="center"/>
    </xf>
    <xf numFmtId="3" fontId="256" fillId="0" borderId="97" xfId="0" applyNumberFormat="1" applyFont="1" applyBorder="1" applyAlignment="1">
      <alignment horizontal="right" vertical="center"/>
    </xf>
    <xf numFmtId="0" fontId="29" fillId="0" borderId="96" xfId="0" applyFont="1" applyBorder="1" applyAlignment="1">
      <alignment horizontal="center" vertical="center" wrapText="1"/>
    </xf>
    <xf numFmtId="0" fontId="65" fillId="0" borderId="96" xfId="0" applyFont="1" applyBorder="1" applyAlignment="1">
      <alignment horizontal="left" vertical="center" wrapText="1"/>
    </xf>
    <xf numFmtId="0" fontId="65" fillId="0" borderId="96" xfId="0" applyFont="1" applyBorder="1" applyAlignment="1">
      <alignment horizontal="center" vertical="center" wrapText="1"/>
    </xf>
    <xf numFmtId="166" fontId="65" fillId="0" borderId="96" xfId="0" applyNumberFormat="1" applyFont="1" applyBorder="1" applyAlignment="1">
      <alignment horizontal="center" vertical="center" wrapText="1"/>
    </xf>
    <xf numFmtId="166" fontId="65" fillId="0" borderId="96" xfId="0" applyNumberFormat="1" applyFont="1" applyBorder="1" applyAlignment="1">
      <alignment horizontal="center" vertical="center"/>
    </xf>
    <xf numFmtId="0" fontId="65" fillId="0" borderId="96" xfId="0" applyFont="1" applyBorder="1" applyAlignment="1">
      <alignment horizontal="center" vertical="center"/>
    </xf>
    <xf numFmtId="3" fontId="65" fillId="0" borderId="96" xfId="0" applyNumberFormat="1" applyFont="1" applyBorder="1" applyAlignment="1">
      <alignment horizontal="right" vertical="center"/>
    </xf>
    <xf numFmtId="0" fontId="65" fillId="0" borderId="96" xfId="0" applyFont="1" applyBorder="1" applyAlignment="1">
      <alignment horizontal="right" vertical="center"/>
    </xf>
    <xf numFmtId="4" fontId="65" fillId="0" borderId="96" xfId="0" applyNumberFormat="1" applyFont="1" applyBorder="1" applyAlignment="1">
      <alignment horizontal="right" vertical="center"/>
    </xf>
    <xf numFmtId="166" fontId="65" fillId="0" borderId="96" xfId="0" applyNumberFormat="1" applyFont="1" applyBorder="1" applyAlignment="1">
      <alignment horizontal="right" vertical="center"/>
    </xf>
    <xf numFmtId="3" fontId="65" fillId="0" borderId="96" xfId="0" applyNumberFormat="1" applyFont="1" applyBorder="1" applyAlignment="1">
      <alignment horizontal="center" vertical="center"/>
    </xf>
    <xf numFmtId="3" fontId="4" fillId="0" borderId="96" xfId="0" applyNumberFormat="1" applyFont="1" applyBorder="1" applyAlignment="1">
      <alignment horizontal="right" vertical="center"/>
    </xf>
    <xf numFmtId="0" fontId="4" fillId="0" borderId="96" xfId="0" applyFont="1" applyBorder="1" applyAlignment="1">
      <alignment horizontal="right" vertical="center"/>
    </xf>
    <xf numFmtId="4" fontId="4" fillId="0" borderId="96" xfId="0" applyNumberFormat="1" applyFont="1" applyBorder="1" applyAlignment="1">
      <alignment horizontal="right" vertical="center"/>
    </xf>
    <xf numFmtId="1" fontId="4" fillId="0" borderId="96" xfId="0" applyNumberFormat="1" applyFont="1" applyBorder="1" applyAlignment="1">
      <alignment horizontal="center" vertical="center"/>
    </xf>
    <xf numFmtId="166" fontId="4" fillId="0" borderId="96" xfId="0" applyNumberFormat="1" applyFont="1" applyBorder="1" applyAlignment="1">
      <alignment horizontal="right" vertical="center"/>
    </xf>
    <xf numFmtId="10" fontId="4" fillId="0" borderId="96" xfId="0" applyNumberFormat="1" applyFont="1" applyBorder="1" applyAlignment="1">
      <alignment horizontal="right" vertical="center"/>
    </xf>
    <xf numFmtId="0" fontId="65" fillId="0" borderId="98" xfId="0" applyFont="1" applyBorder="1" applyAlignment="1">
      <alignment horizontal="left" vertical="center" wrapText="1"/>
    </xf>
    <xf numFmtId="0" fontId="65" fillId="0" borderId="98" xfId="0" applyFont="1" applyBorder="1" applyAlignment="1">
      <alignment horizontal="center" vertical="center" wrapText="1"/>
    </xf>
    <xf numFmtId="166" fontId="65" fillId="0" borderId="98" xfId="0" applyNumberFormat="1" applyFont="1" applyBorder="1" applyAlignment="1">
      <alignment horizontal="center" vertical="center" wrapText="1"/>
    </xf>
    <xf numFmtId="166" fontId="65" fillId="0" borderId="98" xfId="0" applyNumberFormat="1" applyFont="1" applyBorder="1" applyAlignment="1">
      <alignment horizontal="center" vertical="center"/>
    </xf>
    <xf numFmtId="0" fontId="65" fillId="0" borderId="98" xfId="0" applyFont="1" applyBorder="1" applyAlignment="1">
      <alignment horizontal="center" vertical="center"/>
    </xf>
    <xf numFmtId="3" fontId="65" fillId="0" borderId="98" xfId="0" applyNumberFormat="1" applyFont="1" applyBorder="1" applyAlignment="1">
      <alignment horizontal="right" vertical="center"/>
    </xf>
    <xf numFmtId="0" fontId="65" fillId="0" borderId="98" xfId="0" applyFont="1" applyBorder="1" applyAlignment="1">
      <alignment horizontal="right" vertical="center"/>
    </xf>
    <xf numFmtId="4" fontId="65" fillId="0" borderId="98" xfId="0" applyNumberFormat="1" applyFont="1" applyBorder="1" applyAlignment="1">
      <alignment horizontal="right" vertical="center"/>
    </xf>
    <xf numFmtId="166" fontId="65" fillId="0" borderId="98" xfId="0" applyNumberFormat="1" applyFont="1" applyBorder="1" applyAlignment="1">
      <alignment horizontal="right" vertical="center"/>
    </xf>
    <xf numFmtId="3" fontId="65" fillId="0" borderId="98" xfId="0" applyNumberFormat="1" applyFont="1" applyBorder="1" applyAlignment="1">
      <alignment horizontal="center" vertical="center"/>
    </xf>
    <xf numFmtId="3" fontId="4" fillId="0" borderId="98" xfId="0" applyNumberFormat="1" applyFont="1" applyBorder="1" applyAlignment="1">
      <alignment horizontal="right" vertical="center"/>
    </xf>
    <xf numFmtId="0" fontId="4" fillId="0" borderId="98" xfId="0" applyFont="1" applyBorder="1" applyAlignment="1">
      <alignment horizontal="right" vertical="center"/>
    </xf>
    <xf numFmtId="4" fontId="4" fillId="0" borderId="98" xfId="0" applyNumberFormat="1" applyFont="1" applyBorder="1" applyAlignment="1">
      <alignment horizontal="right" vertical="center"/>
    </xf>
    <xf numFmtId="1" fontId="4" fillId="0" borderId="98" xfId="0" applyNumberFormat="1" applyFont="1" applyBorder="1" applyAlignment="1">
      <alignment horizontal="center" vertical="center"/>
    </xf>
    <xf numFmtId="166" fontId="4" fillId="0" borderId="98" xfId="0" applyNumberFormat="1" applyFont="1" applyBorder="1" applyAlignment="1">
      <alignment horizontal="right" vertical="center"/>
    </xf>
    <xf numFmtId="10" fontId="4" fillId="0" borderId="98" xfId="0" applyNumberFormat="1" applyFont="1" applyBorder="1" applyAlignment="1">
      <alignment horizontal="right" vertical="center"/>
    </xf>
    <xf numFmtId="0" fontId="29" fillId="0" borderId="111" xfId="0" applyFont="1" applyBorder="1" applyAlignment="1">
      <alignment horizontal="center" vertical="center" wrapText="1"/>
    </xf>
    <xf numFmtId="0" fontId="65" fillId="0" borderId="111" xfId="0" applyFont="1" applyBorder="1" applyAlignment="1">
      <alignment horizontal="left" vertical="center" wrapText="1"/>
    </xf>
    <xf numFmtId="0" fontId="65" fillId="0" borderId="111" xfId="0" applyFont="1" applyBorder="1" applyAlignment="1">
      <alignment horizontal="center" vertical="center" wrapText="1"/>
    </xf>
    <xf numFmtId="166" fontId="65" fillId="0" borderId="111" xfId="0" applyNumberFormat="1" applyFont="1" applyBorder="1" applyAlignment="1">
      <alignment horizontal="center" vertical="center" wrapText="1"/>
    </xf>
    <xf numFmtId="166" fontId="65" fillId="0" borderId="111" xfId="0" applyNumberFormat="1" applyFont="1" applyBorder="1" applyAlignment="1">
      <alignment horizontal="center" vertical="center"/>
    </xf>
    <xf numFmtId="0" fontId="65" fillId="0" borderId="111" xfId="0" applyFont="1" applyBorder="1" applyAlignment="1">
      <alignment horizontal="center" vertical="center"/>
    </xf>
    <xf numFmtId="3" fontId="65" fillId="0" borderId="111" xfId="0" applyNumberFormat="1" applyFont="1" applyBorder="1" applyAlignment="1">
      <alignment horizontal="right" vertical="center"/>
    </xf>
    <xf numFmtId="0" fontId="65" fillId="0" borderId="111" xfId="0" applyFont="1" applyBorder="1" applyAlignment="1">
      <alignment horizontal="right" vertical="center"/>
    </xf>
    <xf numFmtId="4" fontId="65" fillId="0" borderId="111" xfId="0" applyNumberFormat="1" applyFont="1" applyBorder="1" applyAlignment="1">
      <alignment horizontal="right" vertical="center"/>
    </xf>
    <xf numFmtId="166" fontId="65" fillId="0" borderId="111" xfId="0" applyNumberFormat="1" applyFont="1" applyBorder="1" applyAlignment="1">
      <alignment horizontal="right" vertical="center"/>
    </xf>
    <xf numFmtId="3" fontId="65" fillId="0" borderId="111" xfId="0" applyNumberFormat="1" applyFont="1" applyBorder="1" applyAlignment="1">
      <alignment horizontal="center" vertical="center"/>
    </xf>
    <xf numFmtId="3" fontId="4" fillId="0" borderId="111" xfId="0" applyNumberFormat="1" applyFont="1" applyBorder="1" applyAlignment="1">
      <alignment horizontal="right" vertical="center"/>
    </xf>
    <xf numFmtId="0" fontId="4" fillId="0" borderId="111" xfId="0" applyFont="1" applyBorder="1" applyAlignment="1">
      <alignment horizontal="right" vertical="center"/>
    </xf>
    <xf numFmtId="4" fontId="4" fillId="0" borderId="111" xfId="0" applyNumberFormat="1" applyFont="1" applyBorder="1" applyAlignment="1">
      <alignment horizontal="right" vertical="center"/>
    </xf>
    <xf numFmtId="1" fontId="4" fillId="0" borderId="111" xfId="0" applyNumberFormat="1" applyFont="1" applyBorder="1" applyAlignment="1">
      <alignment horizontal="center" vertical="center"/>
    </xf>
    <xf numFmtId="166" fontId="4" fillId="0" borderId="111" xfId="0" applyNumberFormat="1" applyFont="1" applyBorder="1" applyAlignment="1">
      <alignment horizontal="right" vertical="center"/>
    </xf>
    <xf numFmtId="10" fontId="4" fillId="0" borderId="111" xfId="0" applyNumberFormat="1" applyFont="1" applyBorder="1" applyAlignment="1">
      <alignment horizontal="right" vertical="center"/>
    </xf>
    <xf numFmtId="0" fontId="65" fillId="0" borderId="97" xfId="0" applyFont="1" applyBorder="1" applyAlignment="1">
      <alignment horizontal="left" vertical="center" wrapText="1"/>
    </xf>
    <xf numFmtId="0" fontId="65" fillId="0" borderId="97" xfId="0" applyFont="1" applyBorder="1" applyAlignment="1">
      <alignment horizontal="center" vertical="center" wrapText="1"/>
    </xf>
    <xf numFmtId="166" fontId="65" fillId="0" borderId="97" xfId="0" applyNumberFormat="1" applyFont="1" applyBorder="1" applyAlignment="1">
      <alignment horizontal="center" vertical="center" wrapText="1"/>
    </xf>
    <xf numFmtId="166" fontId="65" fillId="0" borderId="97" xfId="0" applyNumberFormat="1" applyFont="1" applyBorder="1" applyAlignment="1">
      <alignment horizontal="center" vertical="center"/>
    </xf>
    <xf numFmtId="0" fontId="65" fillId="0" borderId="97" xfId="0" applyFont="1" applyBorder="1" applyAlignment="1">
      <alignment horizontal="center" vertical="center"/>
    </xf>
    <xf numFmtId="3" fontId="65" fillId="0" borderId="97" xfId="0" applyNumberFormat="1" applyFont="1" applyBorder="1" applyAlignment="1">
      <alignment horizontal="right" vertical="center"/>
    </xf>
    <xf numFmtId="0" fontId="65" fillId="0" borderId="97" xfId="0" applyFont="1" applyBorder="1" applyAlignment="1">
      <alignment horizontal="right" vertical="center"/>
    </xf>
    <xf numFmtId="4" fontId="65" fillId="0" borderId="97" xfId="0" applyNumberFormat="1" applyFont="1" applyBorder="1" applyAlignment="1">
      <alignment horizontal="right" vertical="center"/>
    </xf>
    <xf numFmtId="166" fontId="65" fillId="0" borderId="97" xfId="0" applyNumberFormat="1" applyFont="1" applyBorder="1" applyAlignment="1">
      <alignment horizontal="right" vertical="center"/>
    </xf>
    <xf numFmtId="3" fontId="65" fillId="0" borderId="97" xfId="0" applyNumberFormat="1" applyFont="1" applyBorder="1" applyAlignment="1">
      <alignment horizontal="center" vertical="center"/>
    </xf>
    <xf numFmtId="3" fontId="4" fillId="0" borderId="97" xfId="0" applyNumberFormat="1" applyFont="1" applyBorder="1" applyAlignment="1">
      <alignment horizontal="right" vertical="center"/>
    </xf>
    <xf numFmtId="0" fontId="4" fillId="0" borderId="97" xfId="0" applyFont="1" applyBorder="1" applyAlignment="1">
      <alignment horizontal="right" vertical="center"/>
    </xf>
    <xf numFmtId="4" fontId="4" fillId="0" borderId="97" xfId="0" applyNumberFormat="1" applyFont="1" applyBorder="1" applyAlignment="1">
      <alignment horizontal="right" vertical="center"/>
    </xf>
    <xf numFmtId="1" fontId="4" fillId="0" borderId="97" xfId="0" applyNumberFormat="1" applyFont="1" applyBorder="1" applyAlignment="1">
      <alignment horizontal="center" vertical="center"/>
    </xf>
    <xf numFmtId="166" fontId="4" fillId="0" borderId="97" xfId="0" applyNumberFormat="1" applyFont="1" applyBorder="1" applyAlignment="1">
      <alignment horizontal="right" vertical="center"/>
    </xf>
    <xf numFmtId="10" fontId="4" fillId="0" borderId="97" xfId="0" applyNumberFormat="1" applyFont="1" applyBorder="1" applyAlignment="1">
      <alignment horizontal="right" vertical="center"/>
    </xf>
    <xf numFmtId="1" fontId="32" fillId="0" borderId="96" xfId="0" applyNumberFormat="1" applyFont="1" applyBorder="1" applyAlignment="1" applyProtection="1">
      <alignment horizontal="center" vertical="center" wrapText="1"/>
      <protection hidden="1"/>
    </xf>
    <xf numFmtId="4" fontId="32" fillId="0" borderId="96" xfId="0" applyNumberFormat="1" applyFont="1" applyBorder="1" applyAlignment="1" applyProtection="1">
      <alignment horizontal="center" vertical="center" wrapText="1"/>
      <protection hidden="1"/>
    </xf>
    <xf numFmtId="4" fontId="32" fillId="0" borderId="96" xfId="0" applyNumberFormat="1" applyFont="1" applyBorder="1" applyAlignment="1" applyProtection="1">
      <alignment horizontal="center" vertical="center"/>
      <protection hidden="1"/>
    </xf>
    <xf numFmtId="167" fontId="32" fillId="0" borderId="96" xfId="0" quotePrefix="1" applyNumberFormat="1" applyFont="1" applyBorder="1" applyAlignment="1" applyProtection="1">
      <alignment horizontal="center" vertical="center"/>
      <protection hidden="1"/>
    </xf>
    <xf numFmtId="3" fontId="32" fillId="0" borderId="96" xfId="0" applyNumberFormat="1" applyFont="1" applyBorder="1" applyAlignment="1" applyProtection="1">
      <alignment horizontal="center" vertical="center"/>
      <protection hidden="1"/>
    </xf>
    <xf numFmtId="1" fontId="32" fillId="0" borderId="115" xfId="0" applyNumberFormat="1" applyFont="1" applyBorder="1" applyAlignment="1" applyProtection="1">
      <alignment horizontal="center" vertical="center" wrapText="1"/>
      <protection hidden="1"/>
    </xf>
    <xf numFmtId="4" fontId="32" fillId="0" borderId="115" xfId="0" applyNumberFormat="1" applyFont="1" applyBorder="1" applyAlignment="1" applyProtection="1">
      <alignment horizontal="center" vertical="center" wrapText="1"/>
      <protection hidden="1"/>
    </xf>
    <xf numFmtId="4" fontId="32" fillId="0" borderId="115" xfId="0" applyNumberFormat="1" applyFont="1" applyBorder="1" applyAlignment="1" applyProtection="1">
      <alignment horizontal="center" vertical="center"/>
      <protection hidden="1"/>
    </xf>
    <xf numFmtId="167" fontId="32" fillId="0" borderId="115" xfId="0" quotePrefix="1" applyNumberFormat="1" applyFont="1" applyBorder="1" applyAlignment="1" applyProtection="1">
      <alignment horizontal="center" vertical="center"/>
      <protection hidden="1"/>
    </xf>
    <xf numFmtId="3" fontId="32" fillId="0" borderId="115" xfId="0" applyNumberFormat="1" applyFont="1" applyBorder="1" applyAlignment="1" applyProtection="1">
      <alignment horizontal="center" vertical="center"/>
      <protection hidden="1"/>
    </xf>
    <xf numFmtId="0" fontId="246" fillId="0" borderId="114" xfId="0" applyFont="1" applyBorder="1" applyAlignment="1">
      <alignment horizontal="center" vertical="center" wrapText="1"/>
    </xf>
    <xf numFmtId="0" fontId="246" fillId="0" borderId="114" xfId="0" applyFont="1" applyBorder="1" applyAlignment="1">
      <alignment horizontal="right" vertical="center" wrapText="1"/>
    </xf>
    <xf numFmtId="3" fontId="246" fillId="0" borderId="114" xfId="0" applyNumberFormat="1" applyFont="1" applyBorder="1" applyAlignment="1">
      <alignment horizontal="right" vertical="center"/>
    </xf>
    <xf numFmtId="0" fontId="246" fillId="0" borderId="114" xfId="0" applyFont="1" applyBorder="1" applyAlignment="1">
      <alignment horizontal="right" vertical="center"/>
    </xf>
    <xf numFmtId="0" fontId="244" fillId="0" borderId="115" xfId="0" applyFont="1" applyBorder="1" applyAlignment="1">
      <alignment horizontal="left" vertical="center" wrapText="1"/>
    </xf>
    <xf numFmtId="0" fontId="246" fillId="0" borderId="115" xfId="0" applyFont="1" applyBorder="1" applyAlignment="1">
      <alignment horizontal="center" vertical="center" wrapText="1"/>
    </xf>
    <xf numFmtId="0" fontId="246" fillId="0" borderId="115" xfId="0" applyFont="1" applyBorder="1" applyAlignment="1">
      <alignment horizontal="right" vertical="center" wrapText="1"/>
    </xf>
    <xf numFmtId="3" fontId="246" fillId="0" borderId="115" xfId="0" applyNumberFormat="1" applyFont="1" applyBorder="1" applyAlignment="1">
      <alignment horizontal="right" vertical="center"/>
    </xf>
    <xf numFmtId="0" fontId="246" fillId="0" borderId="115" xfId="0" applyFont="1" applyBorder="1" applyAlignment="1">
      <alignment horizontal="right" vertical="center"/>
    </xf>
    <xf numFmtId="3" fontId="244" fillId="0" borderId="115" xfId="0" applyNumberFormat="1" applyFont="1" applyBorder="1" applyAlignment="1">
      <alignment horizontal="right" vertical="center"/>
    </xf>
    <xf numFmtId="4" fontId="246" fillId="0" borderId="115" xfId="0" applyNumberFormat="1" applyFont="1" applyBorder="1" applyAlignment="1">
      <alignment horizontal="right" vertical="center"/>
    </xf>
    <xf numFmtId="0" fontId="244" fillId="0" borderId="108" xfId="0" applyFont="1" applyBorder="1" applyAlignment="1">
      <alignment horizontal="center" vertical="center" wrapText="1"/>
    </xf>
    <xf numFmtId="0" fontId="244" fillId="0" borderId="108" xfId="0" applyFont="1" applyBorder="1" applyAlignment="1">
      <alignment horizontal="center" vertical="center"/>
    </xf>
    <xf numFmtId="0" fontId="244" fillId="0" borderId="108" xfId="0" applyFont="1" applyBorder="1" applyAlignment="1">
      <alignment horizontal="left" vertical="center" wrapText="1"/>
    </xf>
    <xf numFmtId="0" fontId="246" fillId="0" borderId="108" xfId="0" applyFont="1" applyBorder="1" applyAlignment="1">
      <alignment horizontal="center" vertical="center" wrapText="1"/>
    </xf>
    <xf numFmtId="3" fontId="246" fillId="0" borderId="108" xfId="0" applyNumberFormat="1" applyFont="1" applyBorder="1" applyAlignment="1">
      <alignment horizontal="right" vertical="center"/>
    </xf>
    <xf numFmtId="0" fontId="246" fillId="0" borderId="108" xfId="0" applyFont="1" applyBorder="1" applyAlignment="1">
      <alignment horizontal="right" vertical="center"/>
    </xf>
    <xf numFmtId="3" fontId="244" fillId="0" borderId="108" xfId="0" applyNumberFormat="1" applyFont="1" applyBorder="1" applyAlignment="1">
      <alignment horizontal="right" vertical="center"/>
    </xf>
    <xf numFmtId="0" fontId="246" fillId="0" borderId="114" xfId="0" applyFont="1" applyBorder="1" applyAlignment="1">
      <alignment horizontal="center" vertical="center"/>
    </xf>
    <xf numFmtId="0" fontId="246" fillId="0" borderId="114" xfId="0" applyFont="1" applyBorder="1" applyAlignment="1">
      <alignment horizontal="left" vertical="center" wrapText="1"/>
    </xf>
    <xf numFmtId="0" fontId="246" fillId="0" borderId="115" xfId="0" applyFont="1" applyBorder="1" applyAlignment="1">
      <alignment horizontal="center" vertical="center"/>
    </xf>
    <xf numFmtId="0" fontId="246" fillId="0" borderId="115" xfId="0" applyFont="1" applyBorder="1" applyAlignment="1">
      <alignment horizontal="left" vertical="center" wrapText="1"/>
    </xf>
    <xf numFmtId="0" fontId="246" fillId="0" borderId="108" xfId="0" applyFont="1" applyBorder="1" applyAlignment="1">
      <alignment horizontal="center" vertical="center"/>
    </xf>
    <xf numFmtId="0" fontId="243" fillId="0" borderId="115" xfId="0" applyFont="1" applyBorder="1" applyAlignment="1">
      <alignment horizontal="center" vertical="center" wrapText="1"/>
    </xf>
    <xf numFmtId="3" fontId="243" fillId="0" borderId="115" xfId="0" applyNumberFormat="1" applyFont="1" applyBorder="1" applyAlignment="1">
      <alignment horizontal="right" vertical="center"/>
    </xf>
    <xf numFmtId="0" fontId="243" fillId="0" borderId="115" xfId="0" applyFont="1" applyBorder="1" applyAlignment="1">
      <alignment horizontal="right" vertical="center"/>
    </xf>
    <xf numFmtId="0" fontId="247" fillId="0" borderId="115" xfId="0" applyFont="1" applyBorder="1" applyAlignment="1">
      <alignment horizontal="center" vertical="center" wrapText="1"/>
    </xf>
    <xf numFmtId="49" fontId="4" fillId="0" borderId="44" xfId="0" applyNumberFormat="1" applyFont="1" applyBorder="1" applyAlignment="1">
      <alignment horizontal="center" vertical="center" wrapText="1"/>
    </xf>
    <xf numFmtId="0" fontId="68" fillId="0" borderId="44" xfId="0" applyFont="1" applyBorder="1" applyAlignment="1">
      <alignment horizontal="center" vertical="center" wrapText="1"/>
    </xf>
    <xf numFmtId="0" fontId="4" fillId="0" borderId="44" xfId="0" applyFont="1" applyBorder="1" applyAlignment="1">
      <alignment horizontal="justify" vertical="center" wrapText="1"/>
    </xf>
    <xf numFmtId="0" fontId="4" fillId="0" borderId="44" xfId="0" applyFont="1" applyBorder="1" applyAlignment="1">
      <alignment horizontal="center" vertical="center" wrapText="1"/>
    </xf>
    <xf numFmtId="4" fontId="4" fillId="0" borderId="44" xfId="0" applyNumberFormat="1" applyFont="1" applyBorder="1" applyAlignment="1">
      <alignment horizontal="center" vertical="center" wrapText="1"/>
    </xf>
    <xf numFmtId="3" fontId="4" fillId="0" borderId="44" xfId="0" applyNumberFormat="1" applyFont="1" applyBorder="1" applyAlignment="1">
      <alignment vertical="center"/>
    </xf>
    <xf numFmtId="4" fontId="4" fillId="0" borderId="44" xfId="0" applyNumberFormat="1" applyFont="1" applyBorder="1" applyAlignment="1">
      <alignment vertical="center"/>
    </xf>
    <xf numFmtId="0" fontId="246" fillId="0" borderId="116" xfId="0" applyFont="1" applyBorder="1" applyAlignment="1">
      <alignment horizontal="center" vertical="center" wrapText="1"/>
    </xf>
    <xf numFmtId="0" fontId="246" fillId="0" borderId="117" xfId="0" applyFont="1" applyBorder="1" applyAlignment="1">
      <alignment horizontal="center" vertical="center"/>
    </xf>
    <xf numFmtId="0" fontId="246" fillId="0" borderId="117" xfId="0" applyFont="1" applyBorder="1" applyAlignment="1">
      <alignment horizontal="center" vertical="center" wrapText="1"/>
    </xf>
    <xf numFmtId="0" fontId="246" fillId="0" borderId="117" xfId="0" applyFont="1" applyBorder="1" applyAlignment="1">
      <alignment horizontal="right" vertical="center" wrapText="1"/>
    </xf>
    <xf numFmtId="3" fontId="246" fillId="0" borderId="117" xfId="0" applyNumberFormat="1" applyFont="1" applyBorder="1" applyAlignment="1">
      <alignment horizontal="right" vertical="center"/>
    </xf>
    <xf numFmtId="0" fontId="246" fillId="0" borderId="117" xfId="0" applyFont="1" applyBorder="1" applyAlignment="1">
      <alignment horizontal="right" vertical="center"/>
    </xf>
    <xf numFmtId="4" fontId="246" fillId="0" borderId="117" xfId="0" applyNumberFormat="1" applyFont="1" applyBorder="1" applyAlignment="1">
      <alignment horizontal="right" vertical="center"/>
    </xf>
    <xf numFmtId="4" fontId="246" fillId="0" borderId="118" xfId="0" applyNumberFormat="1" applyFont="1" applyBorder="1" applyAlignment="1">
      <alignment horizontal="right" vertical="center"/>
    </xf>
    <xf numFmtId="0" fontId="246" fillId="0" borderId="119" xfId="0" applyFont="1" applyBorder="1" applyAlignment="1">
      <alignment horizontal="center" vertical="center" wrapText="1"/>
    </xf>
    <xf numFmtId="0" fontId="246" fillId="0" borderId="120" xfId="0" applyFont="1" applyBorder="1" applyAlignment="1">
      <alignment horizontal="center" vertical="center"/>
    </xf>
    <xf numFmtId="0" fontId="246" fillId="0" borderId="120" xfId="0" applyFont="1" applyBorder="1" applyAlignment="1">
      <alignment horizontal="center" vertical="center" wrapText="1"/>
    </xf>
    <xf numFmtId="0" fontId="244" fillId="0" borderId="120" xfId="0" applyFont="1" applyBorder="1" applyAlignment="1">
      <alignment horizontal="left" vertical="center" wrapText="1"/>
    </xf>
    <xf numFmtId="0" fontId="246" fillId="0" borderId="120" xfId="0" applyFont="1" applyBorder="1" applyAlignment="1">
      <alignment horizontal="right" vertical="center" wrapText="1"/>
    </xf>
    <xf numFmtId="3" fontId="246" fillId="0" borderId="120" xfId="0" applyNumberFormat="1" applyFont="1" applyBorder="1" applyAlignment="1">
      <alignment horizontal="right" vertical="center"/>
    </xf>
    <xf numFmtId="0" fontId="246" fillId="0" borderId="120" xfId="0" applyFont="1" applyBorder="1" applyAlignment="1">
      <alignment horizontal="right" vertical="center"/>
    </xf>
    <xf numFmtId="3" fontId="244" fillId="0" borderId="120" xfId="0" applyNumberFormat="1" applyFont="1" applyBorder="1" applyAlignment="1">
      <alignment horizontal="right" vertical="center"/>
    </xf>
    <xf numFmtId="4" fontId="246" fillId="0" borderId="120" xfId="0" applyNumberFormat="1" applyFont="1" applyBorder="1" applyAlignment="1">
      <alignment horizontal="right" vertical="center"/>
    </xf>
    <xf numFmtId="4" fontId="246" fillId="0" borderId="121" xfId="0" applyNumberFormat="1" applyFont="1" applyBorder="1" applyAlignment="1">
      <alignment horizontal="right" vertical="center"/>
    </xf>
    <xf numFmtId="0" fontId="246" fillId="0" borderId="122" xfId="0" applyFont="1" applyBorder="1" applyAlignment="1">
      <alignment horizontal="center" vertical="center" wrapText="1"/>
    </xf>
    <xf numFmtId="0" fontId="246" fillId="0" borderId="123" xfId="0" applyFont="1" applyBorder="1" applyAlignment="1">
      <alignment horizontal="center" vertical="center"/>
    </xf>
    <xf numFmtId="0" fontId="246" fillId="0" borderId="123" xfId="0" applyFont="1" applyBorder="1" applyAlignment="1">
      <alignment horizontal="center" vertical="center" wrapText="1"/>
    </xf>
    <xf numFmtId="0" fontId="244" fillId="0" borderId="123" xfId="0" applyFont="1" applyBorder="1" applyAlignment="1">
      <alignment horizontal="left" vertical="center" wrapText="1"/>
    </xf>
    <xf numFmtId="3" fontId="246" fillId="0" borderId="123" xfId="0" applyNumberFormat="1" applyFont="1" applyBorder="1" applyAlignment="1">
      <alignment horizontal="right" vertical="center"/>
    </xf>
    <xf numFmtId="0" fontId="246" fillId="0" borderId="123" xfId="0" applyFont="1" applyBorder="1" applyAlignment="1">
      <alignment horizontal="right" vertical="center"/>
    </xf>
    <xf numFmtId="3" fontId="244" fillId="0" borderId="123" xfId="0" applyNumberFormat="1" applyFont="1" applyBorder="1" applyAlignment="1">
      <alignment horizontal="right" vertical="center"/>
    </xf>
    <xf numFmtId="4" fontId="246" fillId="0" borderId="123" xfId="0" applyNumberFormat="1" applyFont="1" applyBorder="1" applyAlignment="1">
      <alignment horizontal="right" vertical="center"/>
    </xf>
    <xf numFmtId="4" fontId="246" fillId="0" borderId="124" xfId="0" applyNumberFormat="1" applyFont="1" applyBorder="1" applyAlignment="1">
      <alignment horizontal="right" vertical="center"/>
    </xf>
    <xf numFmtId="0" fontId="246" fillId="0" borderId="117" xfId="0" applyFont="1" applyBorder="1" applyAlignment="1">
      <alignment horizontal="left" vertical="center" wrapText="1"/>
    </xf>
    <xf numFmtId="0" fontId="246" fillId="0" borderId="120" xfId="0" applyFont="1" applyBorder="1" applyAlignment="1">
      <alignment horizontal="left" vertical="center" wrapText="1"/>
    </xf>
    <xf numFmtId="0" fontId="243" fillId="0" borderId="120" xfId="0" applyFont="1" applyBorder="1" applyAlignment="1">
      <alignment horizontal="center" vertical="center" wrapText="1"/>
    </xf>
    <xf numFmtId="3" fontId="243" fillId="0" borderId="120" xfId="0" applyNumberFormat="1" applyFont="1" applyBorder="1" applyAlignment="1">
      <alignment horizontal="right" vertical="center"/>
    </xf>
    <xf numFmtId="0" fontId="243" fillId="0" borderId="120" xfId="0" applyFont="1" applyBorder="1" applyAlignment="1">
      <alignment horizontal="right" vertical="center"/>
    </xf>
    <xf numFmtId="0" fontId="247" fillId="0" borderId="120" xfId="0" applyFont="1" applyBorder="1" applyAlignment="1">
      <alignment horizontal="center" vertical="center" wrapText="1"/>
    </xf>
    <xf numFmtId="0" fontId="244" fillId="0" borderId="122" xfId="0" applyFont="1" applyBorder="1" applyAlignment="1">
      <alignment horizontal="center" vertical="center" wrapText="1"/>
    </xf>
    <xf numFmtId="0" fontId="244" fillId="0" borderId="123" xfId="0" applyFont="1" applyBorder="1" applyAlignment="1">
      <alignment horizontal="center" vertical="center"/>
    </xf>
    <xf numFmtId="0" fontId="244" fillId="0" borderId="123" xfId="0" applyFont="1" applyBorder="1" applyAlignment="1">
      <alignment horizontal="center" vertical="center" wrapText="1"/>
    </xf>
    <xf numFmtId="0" fontId="255" fillId="0" borderId="7" xfId="0" applyFont="1" applyBorder="1" applyAlignment="1" applyProtection="1">
      <alignment vertical="center"/>
      <protection locked="0"/>
    </xf>
    <xf numFmtId="0" fontId="247" fillId="0" borderId="120" xfId="0" applyFont="1" applyBorder="1" applyAlignment="1">
      <alignment horizontal="center" vertical="center"/>
    </xf>
    <xf numFmtId="0" fontId="258" fillId="0" borderId="7" xfId="0" applyFont="1" applyBorder="1" applyAlignment="1" applyProtection="1">
      <alignment vertical="center"/>
      <protection locked="0"/>
    </xf>
    <xf numFmtId="213" fontId="245" fillId="0" borderId="29" xfId="0" applyNumberFormat="1" applyFont="1" applyBorder="1" applyAlignment="1" applyProtection="1">
      <alignment vertical="center"/>
      <protection locked="0"/>
    </xf>
    <xf numFmtId="0" fontId="243" fillId="0" borderId="91" xfId="0" applyFont="1" applyBorder="1" applyAlignment="1">
      <alignment horizontal="center" vertical="center" wrapText="1"/>
    </xf>
    <xf numFmtId="0" fontId="243" fillId="0" borderId="91" xfId="0" applyFont="1" applyBorder="1" applyAlignment="1">
      <alignment horizontal="center" vertical="center"/>
    </xf>
    <xf numFmtId="0" fontId="243" fillId="0" borderId="91" xfId="0" applyFont="1" applyBorder="1" applyAlignment="1">
      <alignment horizontal="left" vertical="center" wrapText="1"/>
    </xf>
    <xf numFmtId="3" fontId="243" fillId="0" borderId="91" xfId="0" applyNumberFormat="1" applyFont="1" applyBorder="1" applyAlignment="1">
      <alignment horizontal="right" vertical="center"/>
    </xf>
    <xf numFmtId="0" fontId="243" fillId="0" borderId="91" xfId="0" applyFont="1" applyBorder="1" applyAlignment="1">
      <alignment horizontal="right" vertical="center"/>
    </xf>
    <xf numFmtId="4" fontId="243" fillId="0" borderId="91" xfId="0" applyNumberFormat="1" applyFont="1" applyBorder="1" applyAlignment="1">
      <alignment horizontal="right" vertical="center"/>
    </xf>
    <xf numFmtId="0" fontId="214" fillId="0" borderId="118" xfId="0" applyFont="1" applyBorder="1" applyAlignment="1">
      <alignment horizontal="center" vertical="center" wrapText="1"/>
    </xf>
    <xf numFmtId="0" fontId="16" fillId="0" borderId="118" xfId="0" applyFont="1" applyBorder="1" applyAlignment="1">
      <alignment horizontal="center" vertical="center" wrapText="1"/>
    </xf>
    <xf numFmtId="4" fontId="16" fillId="0" borderId="118" xfId="0" applyNumberFormat="1" applyFont="1" applyBorder="1" applyAlignment="1">
      <alignment vertical="center"/>
    </xf>
    <xf numFmtId="3" fontId="16" fillId="0" borderId="118" xfId="0" applyNumberFormat="1" applyFont="1" applyBorder="1" applyAlignment="1">
      <alignment vertical="center"/>
    </xf>
    <xf numFmtId="10" fontId="16" fillId="0" borderId="118" xfId="0" applyNumberFormat="1" applyFont="1" applyBorder="1" applyAlignment="1">
      <alignment vertical="center"/>
    </xf>
    <xf numFmtId="0" fontId="29" fillId="0" borderId="121" xfId="0" applyFont="1" applyBorder="1" applyAlignment="1">
      <alignment horizontal="center" vertical="center" wrapText="1"/>
    </xf>
    <xf numFmtId="0" fontId="4" fillId="0" borderId="121" xfId="0" applyFont="1" applyBorder="1" applyAlignment="1">
      <alignment horizontal="justify" vertical="center" wrapText="1"/>
    </xf>
    <xf numFmtId="0" fontId="4" fillId="0" borderId="121" xfId="0" applyFont="1" applyBorder="1" applyAlignment="1">
      <alignment horizontal="center" vertical="center" wrapText="1"/>
    </xf>
    <xf numFmtId="4" fontId="4" fillId="0" borderId="121" xfId="0" applyNumberFormat="1" applyFont="1" applyBorder="1" applyAlignment="1">
      <alignment vertical="center"/>
    </xf>
    <xf numFmtId="3" fontId="4" fillId="0" borderId="121" xfId="0" applyNumberFormat="1" applyFont="1" applyBorder="1" applyAlignment="1">
      <alignment vertical="center"/>
    </xf>
    <xf numFmtId="10" fontId="4" fillId="0" borderId="121" xfId="0" applyNumberFormat="1" applyFont="1" applyBorder="1" applyAlignment="1">
      <alignment vertical="center"/>
    </xf>
    <xf numFmtId="0" fontId="214" fillId="0" borderId="121" xfId="0" applyFont="1" applyBorder="1" applyAlignment="1">
      <alignment horizontal="center" vertical="center" wrapText="1"/>
    </xf>
    <xf numFmtId="0" fontId="16" fillId="0" borderId="121" xfId="0" applyFont="1" applyBorder="1" applyAlignment="1">
      <alignment horizontal="center" vertical="center" wrapText="1"/>
    </xf>
    <xf numFmtId="4" fontId="16" fillId="0" borderId="121" xfId="0" applyNumberFormat="1" applyFont="1" applyBorder="1" applyAlignment="1">
      <alignment vertical="center"/>
    </xf>
    <xf numFmtId="3" fontId="16" fillId="0" borderId="121" xfId="0" applyNumberFormat="1" applyFont="1" applyBorder="1" applyAlignment="1">
      <alignment vertical="center"/>
    </xf>
    <xf numFmtId="10" fontId="16" fillId="0" borderId="121" xfId="0" applyNumberFormat="1" applyFont="1" applyBorder="1" applyAlignment="1">
      <alignment vertical="center"/>
    </xf>
    <xf numFmtId="0" fontId="44" fillId="0" borderId="121" xfId="0" applyFont="1" applyBorder="1" applyAlignment="1">
      <alignment horizontal="center" vertical="center" wrapText="1"/>
    </xf>
    <xf numFmtId="0" fontId="9" fillId="0" borderId="121" xfId="0" applyFont="1" applyBorder="1" applyAlignment="1">
      <alignment horizontal="center" vertical="center" wrapText="1"/>
    </xf>
    <xf numFmtId="4" fontId="9" fillId="0" borderId="121" xfId="0" applyNumberFormat="1" applyFont="1" applyBorder="1" applyAlignment="1">
      <alignment vertical="center"/>
    </xf>
    <xf numFmtId="3" fontId="9" fillId="0" borderId="121" xfId="0" applyNumberFormat="1" applyFont="1" applyBorder="1" applyAlignment="1">
      <alignment vertical="center"/>
    </xf>
    <xf numFmtId="0" fontId="29" fillId="0" borderId="124" xfId="0" applyFont="1" applyBorder="1" applyAlignment="1">
      <alignment horizontal="center" vertical="center" wrapText="1"/>
    </xf>
    <xf numFmtId="0" fontId="4" fillId="0" borderId="124" xfId="0" applyFont="1" applyBorder="1" applyAlignment="1">
      <alignment horizontal="justify" vertical="center" wrapText="1"/>
    </xf>
    <xf numFmtId="0" fontId="4" fillId="0" borderId="124" xfId="0" applyFont="1" applyBorder="1" applyAlignment="1">
      <alignment horizontal="center" vertical="center" wrapText="1"/>
    </xf>
    <xf numFmtId="4" fontId="4" fillId="0" borderId="124" xfId="0" applyNumberFormat="1" applyFont="1" applyBorder="1" applyAlignment="1">
      <alignment vertical="center"/>
    </xf>
    <xf numFmtId="3" fontId="4" fillId="0" borderId="124" xfId="0" applyNumberFormat="1" applyFont="1" applyBorder="1" applyAlignment="1">
      <alignment vertical="center"/>
    </xf>
    <xf numFmtId="10" fontId="4" fillId="0" borderId="124" xfId="0" applyNumberFormat="1" applyFont="1" applyBorder="1" applyAlignment="1">
      <alignment vertical="center"/>
    </xf>
    <xf numFmtId="0" fontId="16" fillId="0" borderId="118" xfId="0" applyFont="1" applyBorder="1" applyAlignment="1">
      <alignment horizontal="center" vertical="center"/>
    </xf>
    <xf numFmtId="0" fontId="4" fillId="0" borderId="121" xfId="0" applyFont="1" applyBorder="1" applyAlignment="1">
      <alignment horizontal="center" vertical="center"/>
    </xf>
    <xf numFmtId="0" fontId="16" fillId="0" borderId="121" xfId="0" applyFont="1" applyBorder="1" applyAlignment="1">
      <alignment horizontal="center" vertical="center"/>
    </xf>
    <xf numFmtId="0" fontId="9" fillId="0" borderId="121" xfId="0" applyFont="1" applyBorder="1" applyAlignment="1">
      <alignment horizontal="center" vertical="center"/>
    </xf>
    <xf numFmtId="0" fontId="4" fillId="0" borderId="124" xfId="0" applyFont="1" applyBorder="1" applyAlignment="1">
      <alignment horizontal="center" vertical="center"/>
    </xf>
    <xf numFmtId="0" fontId="16" fillId="0" borderId="118" xfId="0" applyFont="1" applyBorder="1" applyAlignment="1">
      <alignment vertical="center"/>
    </xf>
    <xf numFmtId="0" fontId="4" fillId="0" borderId="121" xfId="0" applyFont="1" applyBorder="1" applyAlignment="1">
      <alignment vertical="center"/>
    </xf>
    <xf numFmtId="0" fontId="16" fillId="0" borderId="121" xfId="0" applyFont="1" applyBorder="1" applyAlignment="1">
      <alignment vertical="center"/>
    </xf>
    <xf numFmtId="0" fontId="4" fillId="0" borderId="124" xfId="0" applyFont="1" applyBorder="1" applyAlignment="1">
      <alignment vertical="center"/>
    </xf>
    <xf numFmtId="3" fontId="256" fillId="0" borderId="115" xfId="0" applyNumberFormat="1" applyFont="1" applyBorder="1" applyAlignment="1">
      <alignment horizontal="right" vertical="center"/>
    </xf>
    <xf numFmtId="3" fontId="256" fillId="0" borderId="120" xfId="0" applyNumberFormat="1" applyFont="1" applyBorder="1" applyAlignment="1">
      <alignment horizontal="right" vertical="center"/>
    </xf>
    <xf numFmtId="4" fontId="4" fillId="0" borderId="118" xfId="0" applyNumberFormat="1" applyFont="1" applyBorder="1" applyAlignment="1" applyProtection="1">
      <alignment horizontal="center" vertical="center" wrapText="1"/>
      <protection hidden="1"/>
    </xf>
    <xf numFmtId="4" fontId="4" fillId="0" borderId="118" xfId="0" applyNumberFormat="1" applyFont="1" applyBorder="1" applyAlignment="1" applyProtection="1">
      <alignment horizontal="left" vertical="center" wrapText="1"/>
      <protection hidden="1"/>
    </xf>
    <xf numFmtId="167" fontId="4" fillId="0" borderId="118" xfId="0" quotePrefix="1" applyNumberFormat="1" applyFont="1" applyBorder="1" applyAlignment="1" applyProtection="1">
      <alignment horizontal="center" vertical="center"/>
      <protection hidden="1"/>
    </xf>
    <xf numFmtId="2" fontId="4" fillId="0" borderId="118" xfId="0" applyNumberFormat="1" applyFont="1" applyBorder="1" applyAlignment="1" applyProtection="1">
      <alignment horizontal="center" vertical="center"/>
      <protection hidden="1"/>
    </xf>
    <xf numFmtId="3" fontId="4" fillId="0" borderId="118" xfId="0" applyNumberFormat="1" applyFont="1" applyBorder="1" applyAlignment="1" applyProtection="1">
      <alignment horizontal="right" vertical="center"/>
      <protection hidden="1"/>
    </xf>
    <xf numFmtId="4" fontId="4" fillId="0" borderId="124" xfId="0" applyNumberFormat="1" applyFont="1" applyBorder="1" applyAlignment="1" applyProtection="1">
      <alignment horizontal="center" vertical="center"/>
      <protection hidden="1"/>
    </xf>
    <xf numFmtId="4" fontId="4" fillId="0" borderId="124" xfId="0" applyNumberFormat="1" applyFont="1" applyBorder="1" applyAlignment="1" applyProtection="1">
      <alignment horizontal="left" vertical="center"/>
      <protection hidden="1"/>
    </xf>
    <xf numFmtId="167" fontId="4" fillId="0" borderId="124" xfId="0" applyNumberFormat="1" applyFont="1" applyBorder="1" applyAlignment="1" applyProtection="1">
      <alignment horizontal="center" vertical="center"/>
      <protection hidden="1"/>
    </xf>
    <xf numFmtId="2" fontId="4" fillId="0" borderId="124" xfId="0" applyNumberFormat="1" applyFont="1" applyBorder="1" applyAlignment="1" applyProtection="1">
      <alignment horizontal="center" vertical="center"/>
      <protection hidden="1"/>
    </xf>
    <xf numFmtId="3" fontId="4" fillId="0" borderId="124" xfId="0" applyNumberFormat="1" applyFont="1" applyBorder="1" applyAlignment="1" applyProtection="1">
      <alignment horizontal="right" vertical="center"/>
      <protection hidden="1"/>
    </xf>
    <xf numFmtId="1" fontId="4" fillId="0" borderId="118" xfId="0" applyNumberFormat="1" applyFont="1" applyBorder="1" applyAlignment="1" applyProtection="1">
      <alignment horizontal="center" vertical="center" wrapText="1"/>
      <protection hidden="1"/>
    </xf>
    <xf numFmtId="1" fontId="4" fillId="0" borderId="124" xfId="0" applyNumberFormat="1" applyFont="1" applyBorder="1" applyAlignment="1" applyProtection="1">
      <alignment horizontal="center" vertical="center"/>
      <protection hidden="1"/>
    </xf>
    <xf numFmtId="4" fontId="4" fillId="0" borderId="121" xfId="0" applyNumberFormat="1" applyFont="1" applyBorder="1" applyAlignment="1" applyProtection="1">
      <alignment horizontal="center" vertical="center" wrapText="1"/>
      <protection hidden="1"/>
    </xf>
    <xf numFmtId="4" fontId="4" fillId="0" borderId="121" xfId="0" applyNumberFormat="1" applyFont="1" applyBorder="1" applyAlignment="1" applyProtection="1">
      <alignment horizontal="left" vertical="center" wrapText="1"/>
      <protection hidden="1"/>
    </xf>
    <xf numFmtId="167" fontId="4" fillId="0" borderId="121" xfId="0" quotePrefix="1" applyNumberFormat="1" applyFont="1" applyBorder="1" applyAlignment="1" applyProtection="1">
      <alignment horizontal="center" vertical="center"/>
      <protection hidden="1"/>
    </xf>
    <xf numFmtId="2" fontId="4" fillId="0" borderId="121" xfId="0" applyNumberFormat="1" applyFont="1" applyBorder="1" applyAlignment="1" applyProtection="1">
      <alignment horizontal="center" vertical="center"/>
      <protection hidden="1"/>
    </xf>
    <xf numFmtId="3" fontId="4" fillId="0" borderId="121" xfId="0" applyNumberFormat="1" applyFont="1" applyBorder="1" applyAlignment="1" applyProtection="1">
      <alignment horizontal="right" vertical="center"/>
      <protection hidden="1"/>
    </xf>
    <xf numFmtId="1" fontId="4" fillId="0" borderId="121" xfId="0" applyNumberFormat="1" applyFont="1" applyBorder="1" applyAlignment="1" applyProtection="1">
      <alignment horizontal="center" vertical="center" wrapText="1"/>
      <protection hidden="1"/>
    </xf>
    <xf numFmtId="1" fontId="32" fillId="0" borderId="125" xfId="0" applyNumberFormat="1" applyFont="1" applyBorder="1" applyAlignment="1" applyProtection="1">
      <alignment horizontal="center" vertical="center" wrapText="1"/>
      <protection hidden="1"/>
    </xf>
    <xf numFmtId="4" fontId="32" fillId="0" borderId="125" xfId="0" applyNumberFormat="1" applyFont="1" applyBorder="1" applyAlignment="1" applyProtection="1">
      <alignment horizontal="center" vertical="center" wrapText="1"/>
      <protection hidden="1"/>
    </xf>
    <xf numFmtId="4" fontId="32" fillId="0" borderId="125" xfId="0" applyNumberFormat="1" applyFont="1" applyBorder="1" applyAlignment="1" applyProtection="1">
      <alignment horizontal="center" vertical="center"/>
      <protection hidden="1"/>
    </xf>
    <xf numFmtId="167" fontId="32" fillId="0" borderId="125" xfId="0" quotePrefix="1" applyNumberFormat="1" applyFont="1" applyBorder="1" applyAlignment="1" applyProtection="1">
      <alignment horizontal="center" vertical="center"/>
      <protection hidden="1"/>
    </xf>
    <xf numFmtId="3" fontId="32" fillId="0" borderId="125" xfId="0" applyNumberFormat="1" applyFont="1" applyBorder="1" applyAlignment="1" applyProtection="1">
      <alignment horizontal="center" vertical="center"/>
      <protection hidden="1"/>
    </xf>
    <xf numFmtId="4" fontId="40" fillId="0" borderId="126" xfId="0" applyNumberFormat="1" applyFont="1" applyBorder="1" applyAlignment="1" applyProtection="1">
      <alignment horizontal="center" vertical="center"/>
      <protection hidden="1"/>
    </xf>
    <xf numFmtId="167" fontId="30" fillId="0" borderId="126" xfId="0" applyNumberFormat="1" applyFont="1" applyBorder="1" applyAlignment="1" applyProtection="1">
      <alignment horizontal="left" vertical="center"/>
      <protection hidden="1"/>
    </xf>
    <xf numFmtId="166" fontId="30" fillId="0" borderId="126" xfId="0" applyNumberFormat="1" applyFont="1" applyBorder="1" applyAlignment="1" applyProtection="1">
      <alignment horizontal="center" vertical="center"/>
      <protection hidden="1"/>
    </xf>
    <xf numFmtId="4" fontId="30" fillId="0" borderId="126" xfId="0" applyNumberFormat="1" applyFont="1" applyBorder="1" applyAlignment="1" applyProtection="1">
      <alignment horizontal="center" vertical="center"/>
      <protection hidden="1"/>
    </xf>
    <xf numFmtId="3" fontId="30" fillId="0" borderId="126" xfId="0" applyNumberFormat="1" applyFont="1" applyBorder="1" applyAlignment="1" applyProtection="1">
      <alignment horizontal="right" vertical="center"/>
      <protection hidden="1"/>
    </xf>
    <xf numFmtId="0" fontId="30" fillId="0" borderId="118" xfId="0" applyFont="1" applyBorder="1" applyAlignment="1">
      <alignment horizontal="center" vertical="center" wrapText="1"/>
    </xf>
    <xf numFmtId="0" fontId="30" fillId="0" borderId="118" xfId="0" applyFont="1" applyBorder="1" applyAlignment="1">
      <alignment horizontal="left" vertical="center" wrapText="1"/>
    </xf>
    <xf numFmtId="0" fontId="30" fillId="0" borderId="118" xfId="0" applyFont="1" applyBorder="1" applyAlignment="1">
      <alignment horizontal="center" vertical="center"/>
    </xf>
    <xf numFmtId="0" fontId="30" fillId="0" borderId="118" xfId="0" applyFont="1" applyBorder="1" applyAlignment="1">
      <alignment vertical="center"/>
    </xf>
    <xf numFmtId="9" fontId="30" fillId="0" borderId="118" xfId="0" applyNumberFormat="1" applyFont="1" applyBorder="1" applyAlignment="1">
      <alignment horizontal="center" vertical="center"/>
    </xf>
    <xf numFmtId="2" fontId="30" fillId="0" borderId="118" xfId="0" applyNumberFormat="1" applyFont="1" applyBorder="1" applyAlignment="1">
      <alignment horizontal="right" vertical="center"/>
    </xf>
    <xf numFmtId="0" fontId="30" fillId="0" borderId="118" xfId="0" applyFont="1" applyBorder="1" applyAlignment="1">
      <alignment horizontal="left" vertical="center"/>
    </xf>
    <xf numFmtId="4" fontId="30" fillId="0" borderId="118" xfId="0" applyNumberFormat="1" applyFont="1" applyBorder="1" applyAlignment="1">
      <alignment vertical="center"/>
    </xf>
    <xf numFmtId="3" fontId="30" fillId="0" borderId="118" xfId="0" applyNumberFormat="1" applyFont="1" applyBorder="1" applyAlignment="1">
      <alignment vertical="center"/>
    </xf>
    <xf numFmtId="3" fontId="257" fillId="0" borderId="118" xfId="0" applyNumberFormat="1" applyFont="1" applyBorder="1" applyAlignment="1">
      <alignment vertical="center"/>
    </xf>
    <xf numFmtId="0" fontId="30" fillId="0" borderId="121" xfId="0" applyFont="1" applyBorder="1" applyAlignment="1">
      <alignment horizontal="center" vertical="center" wrapText="1"/>
    </xf>
    <xf numFmtId="0" fontId="30" fillId="0" borderId="121" xfId="0" applyFont="1" applyBorder="1" applyAlignment="1">
      <alignment horizontal="left" vertical="center" wrapText="1"/>
    </xf>
    <xf numFmtId="0" fontId="30" fillId="0" borderId="121" xfId="0" applyFont="1" applyBorder="1" applyAlignment="1">
      <alignment horizontal="center" vertical="center"/>
    </xf>
    <xf numFmtId="0" fontId="30" fillId="0" borderId="121" xfId="0" applyFont="1" applyBorder="1" applyAlignment="1">
      <alignment vertical="center"/>
    </xf>
    <xf numFmtId="9" fontId="30" fillId="0" borderId="121" xfId="0" applyNumberFormat="1" applyFont="1" applyBorder="1" applyAlignment="1">
      <alignment horizontal="center" vertical="center"/>
    </xf>
    <xf numFmtId="2" fontId="30" fillId="0" borderId="121" xfId="0" applyNumberFormat="1" applyFont="1" applyBorder="1" applyAlignment="1">
      <alignment horizontal="right" vertical="center"/>
    </xf>
    <xf numFmtId="0" fontId="30" fillId="0" borderId="121" xfId="0" applyFont="1" applyBorder="1" applyAlignment="1">
      <alignment horizontal="left" vertical="center"/>
    </xf>
    <xf numFmtId="4" fontId="30" fillId="0" borderId="121" xfId="0" applyNumberFormat="1" applyFont="1" applyBorder="1" applyAlignment="1">
      <alignment vertical="center"/>
    </xf>
    <xf numFmtId="3" fontId="30" fillId="0" borderId="121" xfId="0" applyNumberFormat="1" applyFont="1" applyBorder="1" applyAlignment="1">
      <alignment vertical="center"/>
    </xf>
    <xf numFmtId="3" fontId="257" fillId="0" borderId="121" xfId="0" applyNumberFormat="1" applyFont="1" applyBorder="1" applyAlignment="1">
      <alignment vertical="center"/>
    </xf>
    <xf numFmtId="0" fontId="30" fillId="0" borderId="121" xfId="0" applyFont="1" applyBorder="1" applyAlignment="1">
      <alignment horizontal="justify" vertical="center" wrapText="1"/>
    </xf>
    <xf numFmtId="0" fontId="30" fillId="0" borderId="124" xfId="0" applyFont="1" applyBorder="1" applyAlignment="1">
      <alignment horizontal="center" vertical="center"/>
    </xf>
    <xf numFmtId="0" fontId="30" fillId="0" borderId="124" xfId="0" applyFont="1" applyBorder="1" applyAlignment="1">
      <alignment horizontal="justify" vertical="center" wrapText="1"/>
    </xf>
    <xf numFmtId="0" fontId="30" fillId="0" borderId="124" xfId="0" applyFont="1" applyBorder="1" applyAlignment="1">
      <alignment vertical="center"/>
    </xf>
    <xf numFmtId="9" fontId="30" fillId="0" borderId="124" xfId="0" applyNumberFormat="1" applyFont="1" applyBorder="1" applyAlignment="1">
      <alignment horizontal="center" vertical="center"/>
    </xf>
    <xf numFmtId="2" fontId="30" fillId="0" borderId="124" xfId="0" applyNumberFormat="1" applyFont="1" applyBorder="1" applyAlignment="1">
      <alignment horizontal="right" vertical="center"/>
    </xf>
    <xf numFmtId="0" fontId="30" fillId="0" borderId="124" xfId="0" applyFont="1" applyBorder="1" applyAlignment="1">
      <alignment horizontal="left" vertical="center"/>
    </xf>
    <xf numFmtId="4" fontId="30" fillId="0" borderId="124" xfId="0" applyNumberFormat="1" applyFont="1" applyBorder="1" applyAlignment="1">
      <alignment vertical="center"/>
    </xf>
    <xf numFmtId="3" fontId="30" fillId="0" borderId="124" xfId="0" applyNumberFormat="1" applyFont="1" applyBorder="1" applyAlignment="1">
      <alignment vertical="center"/>
    </xf>
    <xf numFmtId="0" fontId="30" fillId="0" borderId="124" xfId="0" applyFont="1" applyBorder="1" applyAlignment="1">
      <alignment horizontal="center" vertical="center" wrapText="1"/>
    </xf>
    <xf numFmtId="3" fontId="186" fillId="0" borderId="121" xfId="0" applyNumberFormat="1" applyFont="1" applyBorder="1" applyAlignment="1">
      <alignment vertical="center"/>
    </xf>
    <xf numFmtId="0" fontId="9" fillId="0" borderId="8" xfId="0" applyFont="1" applyBorder="1" applyAlignment="1" applyProtection="1">
      <alignment horizontal="left" vertical="center"/>
      <protection locked="0"/>
    </xf>
    <xf numFmtId="3" fontId="8" fillId="17" borderId="34" xfId="0" applyNumberFormat="1" applyFont="1" applyFill="1" applyBorder="1" applyAlignment="1" applyProtection="1">
      <alignment horizontal="center" vertical="center"/>
      <protection locked="0"/>
    </xf>
    <xf numFmtId="3" fontId="8" fillId="17" borderId="36" xfId="0" applyNumberFormat="1" applyFont="1" applyFill="1" applyBorder="1" applyAlignment="1" applyProtection="1">
      <alignment horizontal="center" vertical="center"/>
      <protection locked="0"/>
    </xf>
    <xf numFmtId="0" fontId="111" fillId="0" borderId="12" xfId="0" applyFont="1" applyBorder="1" applyAlignment="1">
      <alignment horizontal="center" vertical="center"/>
    </xf>
    <xf numFmtId="0" fontId="111" fillId="0" borderId="10" xfId="0" applyFont="1" applyBorder="1" applyAlignment="1">
      <alignment horizontal="center" vertical="center"/>
    </xf>
    <xf numFmtId="0" fontId="9" fillId="0" borderId="3" xfId="0" applyFont="1" applyBorder="1" applyAlignment="1" applyProtection="1">
      <alignment horizontal="center" vertical="center" wrapText="1"/>
      <protection locked="0"/>
    </xf>
    <xf numFmtId="0" fontId="9" fillId="0" borderId="11" xfId="0" applyFont="1" applyBorder="1" applyAlignment="1" applyProtection="1">
      <alignment horizontal="center" vertical="center" wrapText="1"/>
      <protection locked="0"/>
    </xf>
    <xf numFmtId="214" fontId="8" fillId="17" borderId="34" xfId="0" applyNumberFormat="1" applyFont="1" applyFill="1" applyBorder="1" applyAlignment="1" applyProtection="1">
      <alignment horizontal="center" vertical="center"/>
      <protection locked="0"/>
    </xf>
    <xf numFmtId="214" fontId="8" fillId="17" borderId="36" xfId="0" applyNumberFormat="1" applyFont="1" applyFill="1" applyBorder="1" applyAlignment="1" applyProtection="1">
      <alignment horizontal="center" vertical="center"/>
      <protection locked="0"/>
    </xf>
    <xf numFmtId="0" fontId="9" fillId="0" borderId="11" xfId="0" applyFont="1" applyBorder="1" applyAlignment="1" applyProtection="1">
      <alignment horizontal="left" vertical="center"/>
      <protection locked="0"/>
    </xf>
    <xf numFmtId="0" fontId="111" fillId="0" borderId="3" xfId="0" applyFont="1" applyBorder="1" applyAlignment="1">
      <alignment horizontal="center" vertical="center"/>
    </xf>
    <xf numFmtId="0" fontId="4" fillId="0" borderId="34" xfId="0" applyFont="1" applyBorder="1" applyAlignment="1" applyProtection="1">
      <alignment horizontal="left" vertical="center"/>
      <protection locked="0"/>
    </xf>
    <xf numFmtId="0" fontId="4" fillId="0" borderId="35" xfId="0" applyFont="1" applyBorder="1" applyAlignment="1" applyProtection="1">
      <alignment horizontal="left" vertical="center"/>
      <protection locked="0"/>
    </xf>
    <xf numFmtId="0" fontId="4" fillId="0" borderId="36" xfId="0" applyFont="1" applyBorder="1" applyAlignment="1" applyProtection="1">
      <alignment horizontal="left" vertical="center"/>
      <protection locked="0"/>
    </xf>
    <xf numFmtId="0" fontId="4" fillId="0" borderId="34" xfId="0" applyFont="1" applyBorder="1" applyAlignment="1" applyProtection="1">
      <alignment horizontal="left" vertical="center" wrapText="1"/>
      <protection locked="0"/>
    </xf>
    <xf numFmtId="0" fontId="4" fillId="0" borderId="35" xfId="0" applyFont="1" applyBorder="1" applyAlignment="1" applyProtection="1">
      <alignment horizontal="left" vertical="center" wrapText="1"/>
      <protection locked="0"/>
    </xf>
    <xf numFmtId="0" fontId="4" fillId="0" borderId="36" xfId="0" applyFont="1" applyBorder="1" applyAlignment="1" applyProtection="1">
      <alignment horizontal="left" vertical="center" wrapText="1"/>
      <protection locked="0"/>
    </xf>
    <xf numFmtId="0" fontId="9" fillId="0" borderId="3" xfId="0" applyFont="1" applyBorder="1" applyAlignment="1" applyProtection="1">
      <alignment horizontal="center" vertical="center"/>
      <protection locked="0"/>
    </xf>
    <xf numFmtId="0" fontId="9" fillId="0" borderId="10" xfId="0" applyFont="1" applyBorder="1" applyAlignment="1" applyProtection="1">
      <alignment horizontal="left" vertical="center"/>
      <protection locked="0"/>
    </xf>
    <xf numFmtId="3" fontId="8" fillId="17" borderId="30" xfId="0" applyNumberFormat="1" applyFont="1" applyFill="1" applyBorder="1" applyAlignment="1" applyProtection="1">
      <alignment horizontal="center" vertical="center"/>
      <protection locked="0"/>
    </xf>
    <xf numFmtId="3" fontId="8" fillId="17" borderId="26" xfId="0" applyNumberFormat="1" applyFont="1" applyFill="1" applyBorder="1" applyAlignment="1" applyProtection="1">
      <alignment horizontal="center" vertical="center"/>
      <protection locked="0"/>
    </xf>
    <xf numFmtId="0" fontId="4" fillId="18" borderId="0" xfId="0" applyFont="1" applyFill="1" applyAlignment="1" applyProtection="1">
      <alignment horizontal="left" vertical="center" wrapText="1"/>
      <protection locked="0"/>
    </xf>
    <xf numFmtId="0" fontId="186" fillId="0" borderId="0" xfId="7" applyFont="1" applyBorder="1" applyAlignment="1" applyProtection="1">
      <alignment horizontal="left" vertical="center" wrapText="1"/>
      <protection locked="0"/>
    </xf>
    <xf numFmtId="0" fontId="9" fillId="10" borderId="54" xfId="0" applyFont="1" applyFill="1" applyBorder="1" applyAlignment="1">
      <alignment horizontal="center" vertical="center" wrapText="1"/>
    </xf>
    <xf numFmtId="0" fontId="9" fillId="10" borderId="52" xfId="0" applyFont="1" applyFill="1" applyBorder="1" applyAlignment="1">
      <alignment horizontal="center" vertical="center" wrapText="1"/>
    </xf>
    <xf numFmtId="0" fontId="9" fillId="10" borderId="56" xfId="0" applyFont="1" applyFill="1" applyBorder="1" applyAlignment="1">
      <alignment horizontal="center" vertical="center" wrapText="1"/>
    </xf>
    <xf numFmtId="0" fontId="9" fillId="10" borderId="53" xfId="0" applyFont="1" applyFill="1" applyBorder="1" applyAlignment="1">
      <alignment horizontal="center" vertical="center" wrapText="1"/>
    </xf>
    <xf numFmtId="0" fontId="9" fillId="10" borderId="55" xfId="0" applyFont="1" applyFill="1" applyBorder="1" applyAlignment="1">
      <alignment horizontal="center" vertical="center" wrapText="1"/>
    </xf>
    <xf numFmtId="0" fontId="9" fillId="10" borderId="10" xfId="0" applyFont="1" applyFill="1" applyBorder="1" applyAlignment="1">
      <alignment horizontal="center" vertical="center" wrapText="1"/>
    </xf>
    <xf numFmtId="0" fontId="9" fillId="10" borderId="16" xfId="0" applyFont="1" applyFill="1" applyBorder="1" applyAlignment="1">
      <alignment horizontal="center" vertical="center" wrapText="1"/>
    </xf>
    <xf numFmtId="0" fontId="9" fillId="10" borderId="64" xfId="0" applyFont="1" applyFill="1" applyBorder="1" applyAlignment="1">
      <alignment horizontal="center" vertical="center" wrapText="1"/>
    </xf>
    <xf numFmtId="0" fontId="9" fillId="10" borderId="65" xfId="0" applyFont="1" applyFill="1" applyBorder="1" applyAlignment="1">
      <alignment horizontal="center" vertical="center" wrapText="1"/>
    </xf>
    <xf numFmtId="0" fontId="9" fillId="10" borderId="30" xfId="0" applyFont="1" applyFill="1" applyBorder="1" applyAlignment="1">
      <alignment horizontal="center" vertical="center" wrapText="1"/>
    </xf>
    <xf numFmtId="0" fontId="4" fillId="0" borderId="12"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4" fillId="0" borderId="10" xfId="0" applyFont="1" applyBorder="1" applyAlignment="1" applyProtection="1">
      <alignment horizontal="center" vertical="center"/>
      <protection hidden="1"/>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15" xfId="0" applyFont="1" applyBorder="1" applyAlignment="1">
      <alignment horizontal="center" vertical="center"/>
    </xf>
    <xf numFmtId="0" fontId="9" fillId="36" borderId="0" xfId="0" applyFont="1" applyFill="1" applyAlignment="1" applyProtection="1">
      <alignment horizontal="center" vertical="center"/>
      <protection hidden="1"/>
    </xf>
    <xf numFmtId="0" fontId="9" fillId="36" borderId="67" xfId="0" applyFont="1" applyFill="1" applyBorder="1" applyAlignment="1" applyProtection="1">
      <alignment horizontal="center" vertical="center"/>
      <protection hidden="1"/>
    </xf>
    <xf numFmtId="49" fontId="4" fillId="0" borderId="3" xfId="0" applyNumberFormat="1" applyFont="1" applyBorder="1" applyAlignment="1">
      <alignment horizontal="center" vertical="center"/>
    </xf>
    <xf numFmtId="3" fontId="15" fillId="0" borderId="0" xfId="0" applyNumberFormat="1" applyFont="1" applyAlignment="1">
      <alignment horizontal="center" vertical="center"/>
    </xf>
    <xf numFmtId="3" fontId="15" fillId="0" borderId="0" xfId="0" applyNumberFormat="1" applyFont="1"/>
    <xf numFmtId="3" fontId="0" fillId="0" borderId="0" xfId="0" applyNumberFormat="1"/>
    <xf numFmtId="0" fontId="108" fillId="0" borderId="0" xfId="7" quotePrefix="1" applyFont="1" applyAlignment="1">
      <alignment horizontal="justify" vertical="center" wrapText="1"/>
    </xf>
    <xf numFmtId="0" fontId="112" fillId="0" borderId="0" xfId="0" applyFont="1" applyAlignment="1">
      <alignment horizontal="justify" vertical="center"/>
    </xf>
    <xf numFmtId="0" fontId="112" fillId="0" borderId="0" xfId="0" quotePrefix="1" applyFont="1" applyAlignment="1">
      <alignment horizontal="justify" vertical="center"/>
    </xf>
    <xf numFmtId="0" fontId="131" fillId="0" borderId="0" xfId="0" applyFont="1" applyAlignment="1">
      <alignment horizontal="justify" vertical="center" wrapText="1"/>
    </xf>
    <xf numFmtId="0" fontId="138" fillId="0" borderId="0" xfId="0" applyFont="1" applyAlignment="1">
      <alignment horizontal="justify" vertical="center" wrapText="1"/>
    </xf>
    <xf numFmtId="0" fontId="112" fillId="0" borderId="0" xfId="0" applyFont="1" applyAlignment="1">
      <alignment horizontal="justify" vertical="center" wrapText="1"/>
    </xf>
    <xf numFmtId="0" fontId="112" fillId="0" borderId="0" xfId="0" quotePrefix="1" applyFont="1" applyAlignment="1">
      <alignment horizontal="justify" vertical="center" wrapText="1"/>
    </xf>
    <xf numFmtId="0" fontId="112" fillId="0" borderId="0" xfId="0" quotePrefix="1" applyFont="1" applyAlignment="1">
      <alignment horizontal="left" vertical="center" wrapText="1"/>
    </xf>
    <xf numFmtId="0" fontId="112" fillId="0" borderId="3" xfId="0" applyFont="1" applyBorder="1" applyAlignment="1">
      <alignment horizontal="center" vertical="center"/>
    </xf>
    <xf numFmtId="0" fontId="108" fillId="0" borderId="3" xfId="0" applyFont="1" applyBorder="1" applyAlignment="1">
      <alignment horizontal="left" vertical="center"/>
    </xf>
    <xf numFmtId="0" fontId="116" fillId="0" borderId="3" xfId="0" applyFont="1" applyBorder="1" applyAlignment="1">
      <alignment horizontal="left"/>
    </xf>
    <xf numFmtId="0" fontId="116" fillId="0" borderId="3" xfId="0" applyFont="1" applyBorder="1" applyAlignment="1">
      <alignment horizontal="center"/>
    </xf>
    <xf numFmtId="0" fontId="191" fillId="0" borderId="3" xfId="0" applyFont="1" applyBorder="1" applyAlignment="1">
      <alignment horizontal="center" vertical="center"/>
    </xf>
    <xf numFmtId="0" fontId="112" fillId="0" borderId="0" xfId="0" applyFont="1" applyAlignment="1">
      <alignment horizontal="left" vertical="center" wrapText="1"/>
    </xf>
    <xf numFmtId="0" fontId="130" fillId="0" borderId="0" xfId="0" applyFont="1" applyAlignment="1">
      <alignment horizontal="center" vertical="center"/>
    </xf>
    <xf numFmtId="0" fontId="138" fillId="0" borderId="0" xfId="0" applyFont="1" applyAlignment="1">
      <alignment horizontal="left" vertical="center" wrapText="1"/>
    </xf>
    <xf numFmtId="3" fontId="190" fillId="0" borderId="3" xfId="0" applyNumberFormat="1" applyFont="1" applyBorder="1" applyAlignment="1">
      <alignment horizontal="center" vertical="center"/>
    </xf>
    <xf numFmtId="3" fontId="190" fillId="0" borderId="5" xfId="0" applyNumberFormat="1" applyFont="1" applyBorder="1" applyAlignment="1">
      <alignment horizontal="center" vertical="center"/>
    </xf>
    <xf numFmtId="3" fontId="190" fillId="0" borderId="15" xfId="0" applyNumberFormat="1" applyFont="1" applyBorder="1" applyAlignment="1">
      <alignment horizontal="center" vertical="center"/>
    </xf>
    <xf numFmtId="0" fontId="190" fillId="0" borderId="3" xfId="0" applyFont="1" applyBorder="1" applyAlignment="1">
      <alignment horizontal="center" vertical="center"/>
    </xf>
    <xf numFmtId="0" fontId="117" fillId="0" borderId="43" xfId="0" applyFont="1" applyBorder="1" applyAlignment="1">
      <alignment horizontal="center" vertical="center" wrapText="1"/>
    </xf>
    <xf numFmtId="0" fontId="117" fillId="0" borderId="45" xfId="0" applyFont="1" applyBorder="1" applyAlignment="1">
      <alignment horizontal="center" vertical="center" wrapText="1"/>
    </xf>
    <xf numFmtId="3" fontId="112" fillId="0" borderId="3" xfId="0" applyNumberFormat="1" applyFont="1" applyBorder="1" applyAlignment="1">
      <alignment horizontal="center" vertical="center"/>
    </xf>
    <xf numFmtId="0" fontId="117" fillId="0" borderId="43" xfId="0" applyFont="1" applyBorder="1" applyAlignment="1">
      <alignment horizontal="center" vertical="center"/>
    </xf>
    <xf numFmtId="0" fontId="117" fillId="0" borderId="44" xfId="0" applyFont="1" applyBorder="1" applyAlignment="1">
      <alignment horizontal="center" vertical="center"/>
    </xf>
    <xf numFmtId="0" fontId="117" fillId="0" borderId="45" xfId="0" applyFont="1" applyBorder="1" applyAlignment="1">
      <alignment horizontal="center" vertical="center"/>
    </xf>
    <xf numFmtId="0" fontId="117" fillId="0" borderId="12" xfId="0" applyFont="1" applyBorder="1" applyAlignment="1">
      <alignment horizontal="center" vertical="center" wrapText="1"/>
    </xf>
    <xf numFmtId="0" fontId="128" fillId="0" borderId="0" xfId="0" quotePrefix="1" applyFont="1" applyAlignment="1">
      <alignment horizontal="left" vertical="center" wrapText="1"/>
    </xf>
    <xf numFmtId="0" fontId="130" fillId="0" borderId="0" xfId="0" quotePrefix="1" applyFont="1" applyAlignment="1">
      <alignment horizontal="left" vertical="center" wrapText="1"/>
    </xf>
    <xf numFmtId="0" fontId="117" fillId="0" borderId="3" xfId="0" applyFont="1" applyBorder="1" applyAlignment="1">
      <alignment horizontal="center" vertical="center" wrapText="1"/>
    </xf>
    <xf numFmtId="0" fontId="128" fillId="0" borderId="0" xfId="0" quotePrefix="1" applyFont="1" applyAlignment="1">
      <alignment horizontal="justify" vertical="center" wrapText="1"/>
    </xf>
    <xf numFmtId="0" fontId="128" fillId="0" borderId="0" xfId="0" applyFont="1" applyAlignment="1">
      <alignment horizontal="justify" vertical="center" wrapText="1"/>
    </xf>
    <xf numFmtId="0" fontId="0" fillId="0" borderId="0" xfId="0" applyAlignment="1">
      <alignment horizontal="justify" vertical="center" wrapText="1"/>
    </xf>
    <xf numFmtId="0" fontId="123" fillId="0" borderId="0" xfId="0" applyFont="1" applyAlignment="1">
      <alignment horizontal="center" vertical="center"/>
    </xf>
    <xf numFmtId="0" fontId="13" fillId="17" borderId="12" xfId="0" applyFont="1" applyFill="1" applyBorder="1" applyAlignment="1">
      <alignment horizontal="center" vertical="center" wrapText="1"/>
    </xf>
    <xf numFmtId="0" fontId="13" fillId="17" borderId="10" xfId="0" applyFont="1" applyFill="1" applyBorder="1" applyAlignment="1">
      <alignment horizontal="center" vertical="center" wrapText="1"/>
    </xf>
    <xf numFmtId="0" fontId="121" fillId="0" borderId="13" xfId="0" applyFont="1" applyBorder="1" applyAlignment="1">
      <alignment horizontal="left" vertical="center"/>
    </xf>
    <xf numFmtId="0" fontId="13" fillId="17" borderId="12" xfId="0" applyFont="1" applyFill="1" applyBorder="1" applyAlignment="1">
      <alignment horizontal="center" vertical="center"/>
    </xf>
    <xf numFmtId="0" fontId="13" fillId="17" borderId="10" xfId="0" applyFont="1" applyFill="1" applyBorder="1" applyAlignment="1">
      <alignment horizontal="center" vertical="center"/>
    </xf>
    <xf numFmtId="188" fontId="13" fillId="17" borderId="12" xfId="0" applyNumberFormat="1" applyFont="1" applyFill="1" applyBorder="1" applyAlignment="1">
      <alignment horizontal="center" vertical="center" wrapText="1"/>
    </xf>
    <xf numFmtId="188" fontId="13" fillId="17" borderId="10" xfId="0" applyNumberFormat="1" applyFont="1" applyFill="1" applyBorder="1" applyAlignment="1">
      <alignment horizontal="center" vertical="center" wrapText="1"/>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8" fillId="0" borderId="4" xfId="0" applyFont="1" applyBorder="1" applyAlignment="1">
      <alignment horizontal="center" vertical="center"/>
    </xf>
    <xf numFmtId="0" fontId="8" fillId="0" borderId="9" xfId="0" applyFont="1" applyBorder="1" applyAlignment="1">
      <alignment horizontal="center" vertical="center"/>
    </xf>
    <xf numFmtId="176" fontId="7" fillId="0" borderId="0" xfId="0" applyNumberFormat="1" applyFont="1" applyAlignment="1">
      <alignment horizontal="left" vertical="center"/>
    </xf>
    <xf numFmtId="0" fontId="7" fillId="10" borderId="0" xfId="0" quotePrefix="1" applyFont="1" applyFill="1" applyAlignment="1">
      <alignment horizontal="justify" vertical="center" wrapText="1"/>
    </xf>
    <xf numFmtId="0" fontId="169" fillId="10" borderId="0" xfId="0" applyFont="1" applyFill="1" applyAlignment="1">
      <alignment horizontal="justify" vertical="center" wrapText="1"/>
    </xf>
    <xf numFmtId="0" fontId="0" fillId="10" borderId="0" xfId="0" applyFill="1" applyAlignment="1">
      <alignment horizontal="justify" vertical="center" wrapText="1"/>
    </xf>
    <xf numFmtId="0" fontId="8" fillId="0" borderId="3" xfId="0" applyFont="1" applyBorder="1" applyAlignment="1">
      <alignment horizontal="center" vertical="center"/>
    </xf>
    <xf numFmtId="0" fontId="27" fillId="4" borderId="3" xfId="0" applyFont="1" applyFill="1" applyBorder="1" applyAlignment="1">
      <alignment horizontal="center" vertical="center" wrapText="1"/>
    </xf>
    <xf numFmtId="4" fontId="27" fillId="4" borderId="3" xfId="0" applyNumberFormat="1" applyFont="1" applyFill="1" applyBorder="1" applyAlignment="1">
      <alignment horizontal="center" vertical="center" wrapText="1"/>
    </xf>
    <xf numFmtId="3" fontId="27" fillId="4" borderId="3" xfId="0" applyNumberFormat="1" applyFont="1" applyFill="1" applyBorder="1" applyAlignment="1">
      <alignment horizontal="center" vertical="center" wrapText="1"/>
    </xf>
    <xf numFmtId="0" fontId="9" fillId="18" borderId="3" xfId="0" applyFont="1" applyFill="1" applyBorder="1" applyAlignment="1">
      <alignment horizontal="center" vertical="center" wrapText="1"/>
    </xf>
    <xf numFmtId="2" fontId="9" fillId="18" borderId="3" xfId="0" applyNumberFormat="1" applyFont="1" applyFill="1" applyBorder="1" applyAlignment="1">
      <alignment horizontal="center" vertical="center" wrapText="1"/>
    </xf>
    <xf numFmtId="3" fontId="9" fillId="4" borderId="3" xfId="0" applyNumberFormat="1" applyFont="1" applyFill="1" applyBorder="1" applyAlignment="1">
      <alignment horizontal="center" vertical="center" wrapText="1"/>
    </xf>
    <xf numFmtId="3" fontId="35" fillId="4" borderId="3" xfId="0" applyNumberFormat="1" applyFont="1" applyFill="1" applyBorder="1" applyAlignment="1">
      <alignment horizontal="center" vertical="center" wrapText="1"/>
    </xf>
    <xf numFmtId="0" fontId="47" fillId="4" borderId="43" xfId="0" applyFont="1" applyFill="1" applyBorder="1" applyAlignment="1" applyProtection="1">
      <alignment horizontal="center" vertical="center"/>
      <protection locked="0"/>
    </xf>
    <xf numFmtId="0" fontId="47" fillId="4" borderId="30" xfId="0" applyFont="1" applyFill="1" applyBorder="1" applyAlignment="1" applyProtection="1">
      <alignment horizontal="center" vertical="center"/>
      <protection locked="0"/>
    </xf>
    <xf numFmtId="49" fontId="47" fillId="4" borderId="12" xfId="0" applyNumberFormat="1" applyFont="1" applyFill="1" applyBorder="1" applyAlignment="1" applyProtection="1">
      <alignment horizontal="center" vertical="center" wrapText="1"/>
      <protection locked="0"/>
    </xf>
    <xf numFmtId="49" fontId="47" fillId="4" borderId="10" xfId="0" applyNumberFormat="1" applyFont="1" applyFill="1" applyBorder="1" applyAlignment="1" applyProtection="1">
      <alignment horizontal="center" vertical="center" wrapText="1"/>
      <protection locked="0"/>
    </xf>
    <xf numFmtId="0" fontId="30" fillId="4" borderId="12" xfId="0" applyFont="1" applyFill="1" applyBorder="1" applyAlignment="1" applyProtection="1">
      <alignment horizontal="center" vertical="center" wrapText="1"/>
      <protection locked="0"/>
    </xf>
    <xf numFmtId="0" fontId="30" fillId="4" borderId="10" xfId="0" applyFont="1" applyFill="1" applyBorder="1" applyAlignment="1" applyProtection="1">
      <alignment horizontal="center" vertical="center" wrapText="1"/>
      <protection locked="0"/>
    </xf>
    <xf numFmtId="0" fontId="30" fillId="4" borderId="45" xfId="0" applyFont="1" applyFill="1" applyBorder="1" applyAlignment="1" applyProtection="1">
      <alignment horizontal="center" vertical="center" wrapText="1"/>
      <protection locked="0"/>
    </xf>
    <xf numFmtId="0" fontId="30" fillId="4" borderId="26" xfId="0" applyFont="1" applyFill="1" applyBorder="1" applyAlignment="1" applyProtection="1">
      <alignment horizontal="center" vertical="center" wrapText="1"/>
      <protection locked="0"/>
    </xf>
    <xf numFmtId="0" fontId="74" fillId="4" borderId="12" xfId="0" applyFont="1" applyFill="1" applyBorder="1" applyAlignment="1" applyProtection="1">
      <alignment horizontal="center" vertical="center" wrapText="1"/>
      <protection locked="0"/>
    </xf>
    <xf numFmtId="0" fontId="74" fillId="4" borderId="10" xfId="0" applyFont="1" applyFill="1" applyBorder="1" applyAlignment="1" applyProtection="1">
      <alignment horizontal="center" vertical="center" wrapText="1"/>
      <protection locked="0"/>
    </xf>
    <xf numFmtId="49" fontId="30" fillId="4" borderId="43" xfId="0" applyNumberFormat="1" applyFont="1" applyFill="1" applyBorder="1" applyAlignment="1" applyProtection="1">
      <alignment horizontal="center" vertical="center" wrapText="1"/>
      <protection locked="0"/>
    </xf>
    <xf numFmtId="49" fontId="30" fillId="4" borderId="30" xfId="0" applyNumberFormat="1" applyFont="1" applyFill="1" applyBorder="1" applyAlignment="1" applyProtection="1">
      <alignment horizontal="center" vertical="center" wrapText="1"/>
      <protection locked="0"/>
    </xf>
    <xf numFmtId="3" fontId="30" fillId="4" borderId="12" xfId="0" applyNumberFormat="1" applyFont="1" applyFill="1" applyBorder="1" applyAlignment="1" applyProtection="1">
      <alignment horizontal="center" vertical="center"/>
      <protection locked="0"/>
    </xf>
    <xf numFmtId="0" fontId="250" fillId="0" borderId="10" xfId="0" applyFont="1" applyBorder="1"/>
    <xf numFmtId="3" fontId="47" fillId="4" borderId="45" xfId="0" applyNumberFormat="1" applyFont="1" applyFill="1" applyBorder="1" applyAlignment="1" applyProtection="1">
      <alignment horizontal="center" vertical="center"/>
      <protection locked="0"/>
    </xf>
    <xf numFmtId="3" fontId="0" fillId="0" borderId="26" xfId="0" applyNumberFormat="1" applyBorder="1"/>
    <xf numFmtId="0" fontId="36" fillId="4" borderId="12" xfId="0" applyFont="1" applyFill="1" applyBorder="1" applyAlignment="1">
      <alignment horizontal="center" vertical="center" wrapText="1"/>
    </xf>
    <xf numFmtId="0" fontId="36" fillId="4" borderId="10" xfId="0" applyFont="1" applyFill="1" applyBorder="1" applyAlignment="1">
      <alignment horizontal="center" vertical="center" wrapText="1"/>
    </xf>
    <xf numFmtId="0" fontId="36" fillId="4" borderId="5" xfId="0" applyFont="1" applyFill="1" applyBorder="1" applyAlignment="1">
      <alignment horizontal="center" vertical="center" wrapText="1"/>
    </xf>
    <xf numFmtId="0" fontId="36" fillId="4" borderId="15" xfId="0" applyFont="1" applyFill="1" applyBorder="1" applyAlignment="1">
      <alignment horizontal="center" vertical="center" wrapText="1"/>
    </xf>
    <xf numFmtId="0" fontId="36" fillId="4" borderId="43" xfId="0" applyFont="1" applyFill="1" applyBorder="1" applyAlignment="1">
      <alignment horizontal="center" vertical="center" wrapText="1"/>
    </xf>
    <xf numFmtId="0" fontId="36" fillId="4" borderId="44" xfId="0" applyFont="1" applyFill="1" applyBorder="1" applyAlignment="1">
      <alignment horizontal="center" vertical="center" wrapText="1"/>
    </xf>
    <xf numFmtId="0" fontId="36" fillId="4" borderId="45" xfId="0" applyFont="1" applyFill="1" applyBorder="1" applyAlignment="1">
      <alignment horizontal="center" vertical="center" wrapText="1"/>
    </xf>
    <xf numFmtId="0" fontId="36" fillId="4" borderId="24" xfId="0" applyFont="1" applyFill="1" applyBorder="1" applyAlignment="1">
      <alignment horizontal="center" vertical="center" wrapText="1"/>
    </xf>
    <xf numFmtId="0" fontId="36" fillId="4" borderId="0" xfId="0" applyFont="1" applyFill="1" applyAlignment="1">
      <alignment horizontal="center" vertical="center" wrapText="1"/>
    </xf>
    <xf numFmtId="0" fontId="36" fillId="4" borderId="22" xfId="0" applyFont="1" applyFill="1" applyBorder="1" applyAlignment="1">
      <alignment horizontal="center" vertical="center" wrapText="1"/>
    </xf>
    <xf numFmtId="3" fontId="36" fillId="17" borderId="12" xfId="0" applyNumberFormat="1" applyFont="1" applyFill="1" applyBorder="1" applyAlignment="1">
      <alignment horizontal="center" vertical="center" wrapText="1"/>
    </xf>
    <xf numFmtId="3" fontId="36" fillId="17" borderId="10" xfId="0" applyNumberFormat="1" applyFont="1" applyFill="1" applyBorder="1" applyAlignment="1">
      <alignment horizontal="center" vertical="center" wrapText="1"/>
    </xf>
    <xf numFmtId="166" fontId="36" fillId="17" borderId="12" xfId="0" applyNumberFormat="1" applyFont="1" applyFill="1" applyBorder="1" applyAlignment="1">
      <alignment horizontal="center" vertical="center" wrapText="1"/>
    </xf>
    <xf numFmtId="166" fontId="36" fillId="17" borderId="10" xfId="0" applyNumberFormat="1" applyFont="1" applyFill="1" applyBorder="1" applyAlignment="1">
      <alignment horizontal="center" vertical="center" wrapText="1"/>
    </xf>
    <xf numFmtId="10" fontId="36" fillId="17" borderId="12" xfId="0" applyNumberFormat="1" applyFont="1" applyFill="1" applyBorder="1" applyAlignment="1">
      <alignment horizontal="center" vertical="center" wrapText="1"/>
    </xf>
    <xf numFmtId="10" fontId="36" fillId="17" borderId="10" xfId="0" applyNumberFormat="1" applyFont="1" applyFill="1" applyBorder="1" applyAlignment="1">
      <alignment horizontal="center" vertical="center" wrapText="1"/>
    </xf>
    <xf numFmtId="3" fontId="36" fillId="32" borderId="12" xfId="0" applyNumberFormat="1" applyFont="1" applyFill="1" applyBorder="1" applyAlignment="1">
      <alignment horizontal="center" vertical="center" wrapText="1"/>
    </xf>
    <xf numFmtId="3" fontId="36" fillId="32" borderId="10" xfId="0" applyNumberFormat="1" applyFont="1" applyFill="1" applyBorder="1" applyAlignment="1">
      <alignment horizontal="center" vertical="center" wrapText="1"/>
    </xf>
    <xf numFmtId="4" fontId="36" fillId="17" borderId="12" xfId="0" applyNumberFormat="1" applyFont="1" applyFill="1" applyBorder="1" applyAlignment="1">
      <alignment horizontal="center" vertical="center" wrapText="1"/>
    </xf>
    <xf numFmtId="4" fontId="36" fillId="17" borderId="10" xfId="0" applyNumberFormat="1" applyFont="1" applyFill="1" applyBorder="1" applyAlignment="1">
      <alignment horizontal="center" vertical="center" wrapText="1"/>
    </xf>
    <xf numFmtId="0" fontId="36" fillId="17" borderId="12" xfId="0" applyFont="1" applyFill="1" applyBorder="1" applyAlignment="1">
      <alignment horizontal="center" vertical="center" wrapText="1"/>
    </xf>
    <xf numFmtId="0" fontId="36" fillId="17" borderId="10" xfId="0" applyFont="1" applyFill="1" applyBorder="1" applyAlignment="1">
      <alignment horizontal="center" vertical="center" wrapText="1"/>
    </xf>
    <xf numFmtId="1" fontId="36" fillId="17" borderId="12" xfId="0" applyNumberFormat="1" applyFont="1" applyFill="1" applyBorder="1" applyAlignment="1">
      <alignment horizontal="center" vertical="center" wrapText="1"/>
    </xf>
    <xf numFmtId="1" fontId="36" fillId="17" borderId="10" xfId="0" applyNumberFormat="1" applyFont="1" applyFill="1" applyBorder="1" applyAlignment="1">
      <alignment horizontal="center" vertical="center" wrapText="1"/>
    </xf>
    <xf numFmtId="0" fontId="36" fillId="15" borderId="12" xfId="0" applyFont="1" applyFill="1" applyBorder="1" applyAlignment="1">
      <alignment horizontal="center" vertical="center" wrapText="1"/>
    </xf>
    <xf numFmtId="0" fontId="36" fillId="15" borderId="10" xfId="0" applyFont="1" applyFill="1" applyBorder="1" applyAlignment="1">
      <alignment horizontal="center" vertical="center" wrapText="1"/>
    </xf>
    <xf numFmtId="0" fontId="36" fillId="4" borderId="7" xfId="0" applyFont="1" applyFill="1" applyBorder="1" applyAlignment="1">
      <alignment horizontal="center" vertical="center" wrapText="1"/>
    </xf>
    <xf numFmtId="166" fontId="36" fillId="17" borderId="7" xfId="0" applyNumberFormat="1" applyFont="1" applyFill="1" applyBorder="1" applyAlignment="1">
      <alignment horizontal="center" vertical="center" wrapText="1"/>
    </xf>
    <xf numFmtId="166" fontId="36" fillId="17" borderId="5" xfId="0" applyNumberFormat="1" applyFont="1" applyFill="1" applyBorder="1" applyAlignment="1">
      <alignment horizontal="center" vertical="center" wrapText="1"/>
    </xf>
    <xf numFmtId="166" fontId="36" fillId="17" borderId="2" xfId="0" applyNumberFormat="1" applyFont="1" applyFill="1" applyBorder="1" applyAlignment="1">
      <alignment horizontal="center" vertical="center" wrapText="1"/>
    </xf>
    <xf numFmtId="166" fontId="36" fillId="17" borderId="15" xfId="0" applyNumberFormat="1" applyFont="1" applyFill="1" applyBorder="1" applyAlignment="1">
      <alignment horizontal="center" vertical="center" wrapText="1"/>
    </xf>
    <xf numFmtId="0" fontId="36" fillId="17" borderId="5" xfId="0" applyFont="1" applyFill="1" applyBorder="1" applyAlignment="1">
      <alignment horizontal="center" vertical="center" wrapText="1"/>
    </xf>
    <xf numFmtId="0" fontId="36" fillId="17" borderId="2" xfId="0" applyFont="1" applyFill="1" applyBorder="1" applyAlignment="1">
      <alignment horizontal="center" vertical="center" wrapText="1"/>
    </xf>
    <xf numFmtId="0" fontId="36" fillId="17" borderId="15" xfId="0" applyFont="1" applyFill="1" applyBorder="1" applyAlignment="1">
      <alignment horizontal="center" vertical="center" wrapText="1"/>
    </xf>
    <xf numFmtId="0" fontId="36" fillId="32" borderId="12" xfId="0" applyFont="1" applyFill="1" applyBorder="1" applyAlignment="1">
      <alignment horizontal="center" vertical="center" wrapText="1"/>
    </xf>
    <xf numFmtId="0" fontId="36" fillId="32" borderId="10" xfId="0" applyFont="1" applyFill="1" applyBorder="1" applyAlignment="1">
      <alignment horizontal="center" vertical="center" wrapText="1"/>
    </xf>
    <xf numFmtId="3" fontId="36" fillId="17" borderId="7" xfId="0" applyNumberFormat="1" applyFont="1" applyFill="1" applyBorder="1" applyAlignment="1">
      <alignment horizontal="center" vertical="center" wrapText="1"/>
    </xf>
    <xf numFmtId="0" fontId="36" fillId="17" borderId="7" xfId="0" applyFont="1" applyFill="1" applyBorder="1" applyAlignment="1">
      <alignment horizontal="center" vertical="center" wrapText="1"/>
    </xf>
    <xf numFmtId="4" fontId="36" fillId="17" borderId="7" xfId="0" applyNumberFormat="1" applyFont="1" applyFill="1" applyBorder="1" applyAlignment="1">
      <alignment horizontal="center" vertical="center" wrapText="1"/>
    </xf>
    <xf numFmtId="0" fontId="36" fillId="32" borderId="7" xfId="0" applyFont="1" applyFill="1" applyBorder="1" applyAlignment="1">
      <alignment horizontal="center" vertical="center" wrapText="1"/>
    </xf>
    <xf numFmtId="0" fontId="36" fillId="15" borderId="7" xfId="0" applyFont="1" applyFill="1" applyBorder="1" applyAlignment="1">
      <alignment horizontal="center" vertical="center" wrapText="1"/>
    </xf>
    <xf numFmtId="1" fontId="36" fillId="17" borderId="7" xfId="0" applyNumberFormat="1" applyFont="1" applyFill="1" applyBorder="1" applyAlignment="1">
      <alignment horizontal="center" vertical="center" wrapText="1"/>
    </xf>
    <xf numFmtId="3" fontId="36" fillId="32" borderId="7" xfId="0" applyNumberFormat="1" applyFont="1" applyFill="1" applyBorder="1" applyAlignment="1">
      <alignment horizontal="center" vertical="center" wrapText="1"/>
    </xf>
    <xf numFmtId="10" fontId="36" fillId="17" borderId="7" xfId="0" applyNumberFormat="1" applyFont="1" applyFill="1" applyBorder="1" applyAlignment="1">
      <alignment horizontal="center" vertical="center" wrapText="1"/>
    </xf>
    <xf numFmtId="3" fontId="111" fillId="4" borderId="12" xfId="0" applyNumberFormat="1" applyFont="1" applyFill="1" applyBorder="1" applyAlignment="1">
      <alignment horizontal="center" vertical="center" wrapText="1"/>
    </xf>
    <xf numFmtId="3" fontId="111" fillId="4" borderId="10" xfId="0" applyNumberFormat="1" applyFont="1" applyFill="1" applyBorder="1" applyAlignment="1">
      <alignment horizontal="center" vertical="center" wrapText="1"/>
    </xf>
    <xf numFmtId="179" fontId="111" fillId="4" borderId="12" xfId="0" applyNumberFormat="1" applyFont="1" applyFill="1" applyBorder="1" applyAlignment="1">
      <alignment horizontal="center" vertical="center" wrapText="1"/>
    </xf>
    <xf numFmtId="179" fontId="111" fillId="4" borderId="10" xfId="0" applyNumberFormat="1" applyFont="1" applyFill="1" applyBorder="1" applyAlignment="1">
      <alignment horizontal="center" vertical="center" wrapText="1"/>
    </xf>
    <xf numFmtId="2" fontId="111" fillId="4" borderId="12" xfId="0" applyNumberFormat="1" applyFont="1" applyFill="1" applyBorder="1" applyAlignment="1">
      <alignment horizontal="center" vertical="center" wrapText="1"/>
    </xf>
    <xf numFmtId="2" fontId="111" fillId="4" borderId="10" xfId="0" applyNumberFormat="1" applyFont="1" applyFill="1" applyBorder="1" applyAlignment="1">
      <alignment horizontal="center" vertical="center" wrapText="1"/>
    </xf>
    <xf numFmtId="0" fontId="111" fillId="4" borderId="12" xfId="0" applyFont="1" applyFill="1" applyBorder="1" applyAlignment="1" applyProtection="1">
      <alignment horizontal="center" vertical="center" wrapText="1"/>
      <protection locked="0"/>
    </xf>
    <xf numFmtId="0" fontId="111" fillId="4" borderId="10" xfId="0" applyFont="1" applyFill="1" applyBorder="1" applyAlignment="1" applyProtection="1">
      <alignment horizontal="center" vertical="center" wrapText="1"/>
      <protection locked="0"/>
    </xf>
    <xf numFmtId="0" fontId="111" fillId="4" borderId="43" xfId="0" applyFont="1" applyFill="1" applyBorder="1" applyAlignment="1" applyProtection="1">
      <alignment horizontal="center" vertical="center" wrapText="1"/>
      <protection locked="0"/>
    </xf>
    <xf numFmtId="0" fontId="111" fillId="4" borderId="45" xfId="0" applyFont="1" applyFill="1" applyBorder="1" applyAlignment="1" applyProtection="1">
      <alignment horizontal="center" vertical="center" wrapText="1"/>
      <protection locked="0"/>
    </xf>
    <xf numFmtId="0" fontId="108" fillId="4" borderId="30" xfId="0" applyFont="1" applyFill="1" applyBorder="1" applyAlignment="1">
      <alignment vertical="center"/>
    </xf>
    <xf numFmtId="0" fontId="108" fillId="4" borderId="26" xfId="0" applyFont="1" applyFill="1" applyBorder="1" applyAlignment="1">
      <alignment vertical="center"/>
    </xf>
    <xf numFmtId="0" fontId="111" fillId="4" borderId="5" xfId="0" applyFont="1" applyFill="1" applyBorder="1" applyAlignment="1" applyProtection="1">
      <alignment horizontal="center" vertical="center" wrapText="1"/>
      <protection locked="0"/>
    </xf>
    <xf numFmtId="0" fontId="108" fillId="4" borderId="2" xfId="0" applyFont="1" applyFill="1" applyBorder="1" applyAlignment="1">
      <alignment horizontal="center" vertical="center" wrapText="1"/>
    </xf>
    <xf numFmtId="0" fontId="108" fillId="4" borderId="15" xfId="0" applyFont="1" applyFill="1" applyBorder="1" applyAlignment="1">
      <alignment horizontal="center" vertical="center" wrapText="1"/>
    </xf>
    <xf numFmtId="3" fontId="156" fillId="4" borderId="3" xfId="0" applyNumberFormat="1" applyFont="1" applyFill="1" applyBorder="1" applyAlignment="1" applyProtection="1">
      <alignment horizontal="center" vertical="center" wrapText="1"/>
      <protection locked="0"/>
    </xf>
    <xf numFmtId="179" fontId="111" fillId="4" borderId="12" xfId="0" applyNumberFormat="1" applyFont="1" applyFill="1" applyBorder="1" applyAlignment="1" applyProtection="1">
      <alignment horizontal="center" vertical="center" wrapText="1"/>
      <protection locked="0"/>
    </xf>
    <xf numFmtId="179" fontId="111" fillId="4" borderId="10" xfId="0" applyNumberFormat="1" applyFont="1" applyFill="1" applyBorder="1" applyAlignment="1" applyProtection="1">
      <alignment horizontal="center" vertical="center" wrapText="1"/>
      <protection locked="0"/>
    </xf>
    <xf numFmtId="3" fontId="111" fillId="4" borderId="12" xfId="0" applyNumberFormat="1" applyFont="1" applyFill="1" applyBorder="1" applyAlignment="1" applyProtection="1">
      <alignment horizontal="center" vertical="center" wrapText="1"/>
      <protection locked="0"/>
    </xf>
    <xf numFmtId="3" fontId="111" fillId="4" borderId="10" xfId="0" applyNumberFormat="1" applyFont="1" applyFill="1" applyBorder="1" applyAlignment="1" applyProtection="1">
      <alignment horizontal="center" vertical="center" wrapText="1"/>
      <protection locked="0"/>
    </xf>
    <xf numFmtId="3" fontId="20" fillId="4" borderId="3" xfId="0" applyNumberFormat="1" applyFont="1" applyFill="1" applyBorder="1" applyAlignment="1" applyProtection="1">
      <alignment horizontal="center" vertical="center" wrapText="1"/>
      <protection locked="0"/>
    </xf>
    <xf numFmtId="3" fontId="9" fillId="4" borderId="3" xfId="0" applyNumberFormat="1" applyFont="1" applyFill="1" applyBorder="1" applyAlignment="1" applyProtection="1">
      <alignment horizontal="center" vertical="center" wrapText="1"/>
      <protection locked="0"/>
    </xf>
    <xf numFmtId="4" fontId="111" fillId="4" borderId="12" xfId="0" applyNumberFormat="1" applyFont="1" applyFill="1" applyBorder="1" applyAlignment="1" applyProtection="1">
      <alignment horizontal="center" vertical="center" wrapText="1"/>
      <protection locked="0"/>
    </xf>
    <xf numFmtId="4" fontId="111" fillId="4" borderId="10" xfId="0" applyNumberFormat="1" applyFont="1" applyFill="1" applyBorder="1" applyAlignment="1" applyProtection="1">
      <alignment horizontal="center" vertical="center" wrapText="1"/>
      <protection locked="0"/>
    </xf>
    <xf numFmtId="3" fontId="9" fillId="4" borderId="5" xfId="0" applyNumberFormat="1" applyFont="1" applyFill="1" applyBorder="1" applyAlignment="1" applyProtection="1">
      <alignment horizontal="center" vertical="center" wrapText="1"/>
      <protection locked="0"/>
    </xf>
    <xf numFmtId="3" fontId="108" fillId="4" borderId="2" xfId="0" applyNumberFormat="1" applyFont="1" applyFill="1" applyBorder="1" applyAlignment="1">
      <alignment horizontal="center" vertical="center" wrapText="1"/>
    </xf>
    <xf numFmtId="3" fontId="108" fillId="4" borderId="15" xfId="0" applyNumberFormat="1" applyFont="1" applyFill="1" applyBorder="1" applyAlignment="1">
      <alignment horizontal="center" vertical="center" wrapText="1"/>
    </xf>
    <xf numFmtId="3" fontId="20" fillId="4" borderId="12" xfId="0" applyNumberFormat="1" applyFont="1" applyFill="1" applyBorder="1" applyAlignment="1" applyProtection="1">
      <alignment horizontal="center" vertical="center" wrapText="1"/>
      <protection locked="0"/>
    </xf>
    <xf numFmtId="3" fontId="20" fillId="4" borderId="10" xfId="0" applyNumberFormat="1" applyFont="1" applyFill="1" applyBorder="1" applyAlignment="1" applyProtection="1">
      <alignment horizontal="center" vertical="center" wrapText="1"/>
      <protection locked="0"/>
    </xf>
    <xf numFmtId="3" fontId="9" fillId="6" borderId="12" xfId="0" applyNumberFormat="1" applyFont="1" applyFill="1" applyBorder="1" applyAlignment="1">
      <alignment horizontal="center" vertical="center" wrapText="1"/>
    </xf>
    <xf numFmtId="3" fontId="9" fillId="6" borderId="10" xfId="0" applyNumberFormat="1" applyFont="1" applyFill="1" applyBorder="1" applyAlignment="1">
      <alignment horizontal="center" vertical="center" wrapText="1"/>
    </xf>
    <xf numFmtId="0" fontId="9" fillId="6" borderId="12"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38" fillId="5" borderId="12" xfId="0" applyFont="1" applyFill="1" applyBorder="1" applyAlignment="1">
      <alignment horizontal="center" vertical="center"/>
    </xf>
    <xf numFmtId="0" fontId="38" fillId="5" borderId="10" xfId="0" applyFont="1" applyFill="1" applyBorder="1" applyAlignment="1">
      <alignment horizontal="center" vertical="center"/>
    </xf>
    <xf numFmtId="0" fontId="9" fillId="17" borderId="12" xfId="0" applyFont="1" applyFill="1" applyBorder="1" applyAlignment="1">
      <alignment horizontal="center" vertical="center" wrapText="1"/>
    </xf>
    <xf numFmtId="0" fontId="9" fillId="17" borderId="10" xfId="0" applyFont="1" applyFill="1" applyBorder="1" applyAlignment="1">
      <alignment horizontal="center" vertical="center" wrapText="1"/>
    </xf>
    <xf numFmtId="179" fontId="9" fillId="4" borderId="12" xfId="0" applyNumberFormat="1" applyFont="1" applyFill="1" applyBorder="1" applyAlignment="1">
      <alignment horizontal="center" vertical="center" wrapText="1"/>
    </xf>
    <xf numFmtId="179" fontId="9" fillId="4" borderId="10" xfId="0" applyNumberFormat="1" applyFont="1" applyFill="1" applyBorder="1" applyAlignment="1">
      <alignment horizontal="center" vertical="center" wrapText="1"/>
    </xf>
    <xf numFmtId="4" fontId="9" fillId="4" borderId="12" xfId="0" applyNumberFormat="1" applyFont="1" applyFill="1" applyBorder="1" applyAlignment="1">
      <alignment horizontal="center" vertical="center" wrapText="1"/>
    </xf>
    <xf numFmtId="4" fontId="9" fillId="4" borderId="10" xfId="0" applyNumberFormat="1" applyFont="1" applyFill="1" applyBorder="1" applyAlignment="1">
      <alignment horizontal="center" vertical="center" wrapText="1"/>
    </xf>
    <xf numFmtId="49" fontId="9" fillId="6" borderId="12" xfId="0" applyNumberFormat="1" applyFont="1" applyFill="1" applyBorder="1" applyAlignment="1" applyProtection="1">
      <alignment horizontal="center" vertical="center" wrapText="1"/>
      <protection locked="0"/>
    </xf>
    <xf numFmtId="49" fontId="9" fillId="6" borderId="10" xfId="0" applyNumberFormat="1" applyFont="1" applyFill="1" applyBorder="1" applyAlignment="1" applyProtection="1">
      <alignment horizontal="center" vertical="center" wrapText="1"/>
      <protection locked="0"/>
    </xf>
    <xf numFmtId="0" fontId="9" fillId="6" borderId="12" xfId="0" applyFont="1" applyFill="1" applyBorder="1" applyAlignment="1" applyProtection="1">
      <alignment horizontal="center" vertical="center" wrapText="1"/>
      <protection locked="0"/>
    </xf>
    <xf numFmtId="0" fontId="9" fillId="6" borderId="10" xfId="0" applyFont="1" applyFill="1" applyBorder="1" applyAlignment="1" applyProtection="1">
      <alignment horizontal="center" vertical="center" wrapText="1"/>
      <protection locked="0"/>
    </xf>
    <xf numFmtId="0" fontId="47" fillId="6" borderId="12" xfId="0" applyFont="1" applyFill="1" applyBorder="1" applyAlignment="1" applyProtection="1">
      <alignment horizontal="center" vertical="center"/>
      <protection locked="0"/>
    </xf>
    <xf numFmtId="0" fontId="47" fillId="6" borderId="10" xfId="0" applyFont="1" applyFill="1" applyBorder="1" applyAlignment="1" applyProtection="1">
      <alignment horizontal="center" vertical="center"/>
      <protection locked="0"/>
    </xf>
    <xf numFmtId="3" fontId="9" fillId="6" borderId="12" xfId="0" applyNumberFormat="1" applyFont="1" applyFill="1" applyBorder="1" applyAlignment="1" applyProtection="1">
      <alignment horizontal="center" vertical="center"/>
      <protection locked="0"/>
    </xf>
    <xf numFmtId="3" fontId="44" fillId="6" borderId="10" xfId="0" applyNumberFormat="1" applyFont="1" applyFill="1" applyBorder="1" applyAlignment="1" applyProtection="1">
      <alignment horizontal="center" vertical="center"/>
      <protection locked="0"/>
    </xf>
    <xf numFmtId="3" fontId="9" fillId="6" borderId="10" xfId="0" applyNumberFormat="1" applyFont="1" applyFill="1" applyBorder="1" applyAlignment="1" applyProtection="1">
      <alignment horizontal="center" vertical="center"/>
      <protection locked="0"/>
    </xf>
    <xf numFmtId="3" fontId="9" fillId="32" borderId="12" xfId="0" applyNumberFormat="1" applyFont="1" applyFill="1" applyBorder="1" applyAlignment="1">
      <alignment horizontal="center" vertical="center" wrapText="1"/>
    </xf>
    <xf numFmtId="3" fontId="9" fillId="32" borderId="10" xfId="0" applyNumberFormat="1"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0" xfId="0" applyFont="1" applyFill="1" applyBorder="1" applyAlignment="1">
      <alignment horizontal="center" vertical="center" wrapText="1"/>
    </xf>
    <xf numFmtId="3" fontId="9" fillId="17" borderId="12" xfId="0" applyNumberFormat="1" applyFont="1" applyFill="1" applyBorder="1" applyAlignment="1">
      <alignment horizontal="center" vertical="center" wrapText="1"/>
    </xf>
    <xf numFmtId="3" fontId="9" fillId="17" borderId="10" xfId="0" applyNumberFormat="1" applyFont="1" applyFill="1" applyBorder="1" applyAlignment="1">
      <alignment horizontal="center" vertical="center" wrapText="1"/>
    </xf>
    <xf numFmtId="3" fontId="111" fillId="15" borderId="12" xfId="0" applyNumberFormat="1" applyFont="1" applyFill="1" applyBorder="1" applyAlignment="1">
      <alignment horizontal="center" vertical="center" wrapText="1"/>
    </xf>
    <xf numFmtId="3" fontId="111" fillId="15" borderId="10" xfId="0" applyNumberFormat="1" applyFont="1" applyFill="1" applyBorder="1" applyAlignment="1">
      <alignment horizontal="center" vertical="center" wrapText="1"/>
    </xf>
    <xf numFmtId="2" fontId="111" fillId="15" borderId="12" xfId="0" applyNumberFormat="1" applyFont="1" applyFill="1" applyBorder="1" applyAlignment="1">
      <alignment horizontal="center" vertical="center" wrapText="1"/>
    </xf>
    <xf numFmtId="2" fontId="111" fillId="15" borderId="10" xfId="0" applyNumberFormat="1" applyFont="1" applyFill="1" applyBorder="1" applyAlignment="1">
      <alignment horizontal="center" vertical="center" wrapText="1"/>
    </xf>
    <xf numFmtId="179" fontId="111" fillId="15" borderId="12" xfId="0" applyNumberFormat="1" applyFont="1" applyFill="1" applyBorder="1" applyAlignment="1">
      <alignment horizontal="center" vertical="center" wrapText="1"/>
    </xf>
    <xf numFmtId="179" fontId="111" fillId="15" borderId="10" xfId="0" applyNumberFormat="1" applyFont="1" applyFill="1" applyBorder="1" applyAlignment="1">
      <alignment horizontal="center" vertical="center" wrapText="1"/>
    </xf>
    <xf numFmtId="3" fontId="47" fillId="6" borderId="5" xfId="0" applyNumberFormat="1" applyFont="1" applyFill="1" applyBorder="1" applyAlignment="1" applyProtection="1">
      <alignment horizontal="center" vertical="center" wrapText="1"/>
      <protection locked="0"/>
    </xf>
    <xf numFmtId="3" fontId="47" fillId="6" borderId="2" xfId="0" applyNumberFormat="1" applyFont="1" applyFill="1" applyBorder="1" applyAlignment="1" applyProtection="1">
      <alignment horizontal="center" vertical="center" wrapText="1"/>
      <protection locked="0"/>
    </xf>
    <xf numFmtId="3" fontId="47" fillId="6" borderId="15" xfId="0" applyNumberFormat="1" applyFont="1" applyFill="1" applyBorder="1" applyAlignment="1" applyProtection="1">
      <alignment horizontal="center" vertical="center" wrapText="1"/>
      <protection locked="0"/>
    </xf>
    <xf numFmtId="3" fontId="47" fillId="6" borderId="12" xfId="0" applyNumberFormat="1" applyFont="1" applyFill="1" applyBorder="1" applyAlignment="1" applyProtection="1">
      <alignment horizontal="center" vertical="center" wrapText="1"/>
      <protection locked="0"/>
    </xf>
    <xf numFmtId="3" fontId="47" fillId="6" borderId="10" xfId="0" applyNumberFormat="1" applyFont="1" applyFill="1" applyBorder="1" applyAlignment="1" applyProtection="1">
      <alignment horizontal="center" vertical="center" wrapText="1"/>
      <protection locked="0"/>
    </xf>
    <xf numFmtId="3" fontId="109" fillId="6" borderId="12" xfId="0" applyNumberFormat="1" applyFont="1" applyFill="1" applyBorder="1" applyAlignment="1" applyProtection="1">
      <alignment horizontal="center" vertical="center" wrapText="1"/>
      <protection locked="0"/>
    </xf>
    <xf numFmtId="3" fontId="109" fillId="6" borderId="10" xfId="0" applyNumberFormat="1" applyFont="1" applyFill="1" applyBorder="1" applyAlignment="1" applyProtection="1">
      <alignment horizontal="center" vertical="center" wrapText="1"/>
      <protection locked="0"/>
    </xf>
    <xf numFmtId="3" fontId="147" fillId="6" borderId="12" xfId="0" applyNumberFormat="1" applyFont="1" applyFill="1" applyBorder="1" applyAlignment="1" applyProtection="1">
      <alignment horizontal="center" vertical="center" wrapText="1"/>
      <protection locked="0"/>
    </xf>
    <xf numFmtId="3" fontId="147" fillId="6" borderId="10" xfId="0" applyNumberFormat="1" applyFont="1" applyFill="1" applyBorder="1" applyAlignment="1" applyProtection="1">
      <alignment horizontal="center" vertical="center" wrapText="1"/>
      <protection locked="0"/>
    </xf>
    <xf numFmtId="3" fontId="87" fillId="6" borderId="12" xfId="0" applyNumberFormat="1" applyFont="1" applyFill="1" applyBorder="1" applyAlignment="1" applyProtection="1">
      <alignment horizontal="center" vertical="center" wrapText="1"/>
      <protection locked="0"/>
    </xf>
    <xf numFmtId="3" fontId="87" fillId="6" borderId="10" xfId="0" applyNumberFormat="1" applyFont="1" applyFill="1" applyBorder="1" applyAlignment="1" applyProtection="1">
      <alignment horizontal="center" vertical="center" wrapText="1"/>
      <protection locked="0"/>
    </xf>
    <xf numFmtId="3" fontId="86" fillId="6" borderId="12" xfId="0" applyNumberFormat="1" applyFont="1" applyFill="1" applyBorder="1" applyAlignment="1" applyProtection="1">
      <alignment horizontal="center" vertical="center" wrapText="1"/>
      <protection locked="0"/>
    </xf>
    <xf numFmtId="3" fontId="86" fillId="6" borderId="10" xfId="0" applyNumberFormat="1" applyFont="1" applyFill="1" applyBorder="1" applyAlignment="1" applyProtection="1">
      <alignment horizontal="center" vertical="center" wrapText="1"/>
      <protection locked="0"/>
    </xf>
    <xf numFmtId="3" fontId="35" fillId="6" borderId="12" xfId="0" applyNumberFormat="1" applyFont="1" applyFill="1" applyBorder="1" applyAlignment="1" applyProtection="1">
      <alignment horizontal="center" vertical="center" wrapText="1"/>
      <protection locked="0"/>
    </xf>
    <xf numFmtId="3" fontId="35" fillId="6" borderId="10" xfId="0" applyNumberFormat="1" applyFont="1" applyFill="1" applyBorder="1" applyAlignment="1" applyProtection="1">
      <alignment horizontal="center" vertical="center" wrapText="1"/>
      <protection locked="0"/>
    </xf>
    <xf numFmtId="3" fontId="9" fillId="6" borderId="12" xfId="0" applyNumberFormat="1" applyFont="1" applyFill="1" applyBorder="1" applyAlignment="1" applyProtection="1">
      <alignment horizontal="center" vertical="center" wrapText="1"/>
      <protection locked="0"/>
    </xf>
    <xf numFmtId="3" fontId="9" fillId="6" borderId="10" xfId="0" applyNumberFormat="1"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4" fillId="6" borderId="2" xfId="0" applyFont="1" applyFill="1" applyBorder="1" applyAlignment="1">
      <alignment horizontal="center" vertical="center" wrapText="1"/>
    </xf>
    <xf numFmtId="0" fontId="4" fillId="6" borderId="15" xfId="0" applyFont="1" applyFill="1" applyBorder="1" applyAlignment="1">
      <alignment horizontal="center" vertical="center" wrapText="1"/>
    </xf>
    <xf numFmtId="4" fontId="9" fillId="6" borderId="12" xfId="0" applyNumberFormat="1" applyFont="1" applyFill="1" applyBorder="1" applyAlignment="1" applyProtection="1">
      <alignment horizontal="center" vertical="center" wrapText="1"/>
      <protection locked="0"/>
    </xf>
    <xf numFmtId="4" fontId="9" fillId="6" borderId="10" xfId="0" applyNumberFormat="1" applyFont="1" applyFill="1" applyBorder="1" applyAlignment="1" applyProtection="1">
      <alignment horizontal="center" vertical="center" wrapText="1"/>
      <protection locked="0"/>
    </xf>
    <xf numFmtId="0" fontId="9" fillId="6" borderId="43" xfId="0" applyFont="1" applyFill="1" applyBorder="1" applyAlignment="1" applyProtection="1">
      <alignment horizontal="center" vertical="center" wrapText="1"/>
      <protection locked="0"/>
    </xf>
    <xf numFmtId="0" fontId="9" fillId="6" borderId="45" xfId="0" applyFont="1" applyFill="1" applyBorder="1" applyAlignment="1" applyProtection="1">
      <alignment horizontal="center" vertical="center" wrapText="1"/>
      <protection locked="0"/>
    </xf>
    <xf numFmtId="0" fontId="4" fillId="6" borderId="30" xfId="0" applyFont="1" applyFill="1" applyBorder="1" applyAlignment="1">
      <alignment vertical="center"/>
    </xf>
    <xf numFmtId="0" fontId="4" fillId="6" borderId="26" xfId="0" applyFont="1" applyFill="1" applyBorder="1" applyAlignment="1">
      <alignment vertical="center"/>
    </xf>
  </cellXfs>
  <cellStyles count="12">
    <cellStyle name="Can kiem tra" xfId="3"/>
    <cellStyle name="Can xem lai" xfId="2"/>
    <cellStyle name="Chú thích" xfId="4"/>
    <cellStyle name="Chua co so lieu" xfId="1"/>
    <cellStyle name="Comma" xfId="6" builtinId="3"/>
    <cellStyle name="Comma 2" xfId="11"/>
    <cellStyle name="Comma 3" xfId="10"/>
    <cellStyle name="GXD" xfId="8"/>
    <cellStyle name="Hyperlink" xfId="7" builtinId="8" customBuiltin="1"/>
    <cellStyle name="Kiem tra du lieu dau vao" xfId="5"/>
    <cellStyle name="Normal" xfId="0" builtinId="0" customBuiltin="1"/>
    <cellStyle name="Percent" xfId="9" builtinId="5"/>
  </cellStyles>
  <dxfs count="32">
    <dxf>
      <font>
        <condense val="0"/>
        <extend val="0"/>
        <color indexed="10"/>
      </font>
    </dxf>
    <dxf>
      <font>
        <condense val="0"/>
        <extend val="0"/>
        <color indexed="12"/>
      </font>
    </dxf>
    <dxf>
      <font>
        <condense val="0"/>
        <extend val="0"/>
        <color indexed="10"/>
      </font>
    </dxf>
    <dxf>
      <font>
        <condense val="0"/>
        <extend val="0"/>
        <color indexed="12"/>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2"/>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border>
        <top style="thin">
          <color theme="1"/>
        </top>
      </border>
    </dxf>
    <dxf>
      <border>
        <top style="thin">
          <color theme="1"/>
        </top>
      </border>
    </dxf>
    <dxf>
      <fill>
        <patternFill>
          <bgColor theme="9" tint="0.59996337778862885"/>
        </patternFill>
      </fill>
      <border>
        <left style="thin">
          <color theme="9" tint="-0.24994659260841701"/>
        </left>
        <right style="thin">
          <color theme="9" tint="-0.24994659260841701"/>
        </right>
        <bottom style="thin">
          <color theme="7"/>
        </bottom>
      </border>
    </dxf>
    <dxf>
      <border>
        <top style="thin">
          <color theme="1"/>
        </top>
      </border>
    </dxf>
    <dxf>
      <fill>
        <patternFill>
          <bgColor theme="0"/>
        </patternFill>
      </fill>
      <border>
        <bottom style="thin">
          <color theme="0"/>
        </bottom>
      </border>
    </dxf>
    <dxf>
      <fill>
        <patternFill>
          <bgColor theme="0" tint="-4.9989318521683403E-2"/>
        </patternFill>
      </fill>
      <border>
        <bottom style="thin">
          <color theme="0"/>
        </bottom>
      </border>
    </dxf>
    <dxf>
      <fill>
        <patternFill>
          <bgColor theme="9" tint="0.59996337778862885"/>
        </patternFill>
      </fill>
      <border>
        <left style="thin">
          <color theme="9" tint="-0.24994659260841701"/>
        </left>
        <right style="thin">
          <color theme="9" tint="-0.24994659260841701"/>
        </right>
        <bottom style="thin">
          <color theme="9" tint="0.59996337778862885"/>
        </bottom>
      </border>
    </dxf>
    <dxf>
      <fill>
        <patternFill patternType="lightUp">
          <fgColor theme="7"/>
          <bgColor indexed="65"/>
        </patternFill>
      </fill>
      <border>
        <bottom style="thin">
          <color theme="0"/>
        </bottom>
      </border>
    </dxf>
    <dxf>
      <fill>
        <patternFill patternType="lightUp">
          <fgColor theme="7"/>
          <bgColor theme="9" tint="0.59996337778862885"/>
        </patternFill>
      </fill>
      <border>
        <bottom style="thin">
          <color theme="0"/>
        </bottom>
      </border>
    </dxf>
    <dxf>
      <fill>
        <patternFill patternType="lightUp">
          <fgColor rgb="FF0070C0"/>
          <bgColor theme="7" tint="0.59996337778862885"/>
        </patternFill>
      </fill>
      <border>
        <bottom style="thin">
          <color theme="0"/>
        </bottom>
      </border>
    </dxf>
    <dxf>
      <fill>
        <patternFill patternType="solid">
          <fgColor indexed="64"/>
          <bgColor theme="9"/>
        </patternFill>
      </fill>
      <border>
        <bottom style="thin">
          <color theme="0"/>
        </bottom>
      </border>
    </dxf>
    <dxf>
      <fill>
        <patternFill patternType="solid">
          <fgColor rgb="FFFFFF99"/>
          <bgColor theme="4"/>
        </patternFill>
      </fill>
      <border>
        <bottom style="thin">
          <color theme="0"/>
        </bottom>
      </border>
    </dxf>
  </dxfs>
  <tableStyles count="0" defaultTableStyle="TableStyleMedium9" defaultPivotStyle="PivotStyleLight16"/>
  <colors>
    <mruColors>
      <color rgb="FFFFFFCC"/>
      <color rgb="FF1EB050"/>
      <color rgb="FFCCFFFF"/>
      <color rgb="FFFF5050"/>
      <color rgb="FFCCFFCC"/>
      <color rgb="FFFFFF99"/>
      <color rgb="FF99FFCC"/>
      <color rgb="FF0000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b="1">
                <a:latin typeface="Times New Roman" panose="02020603050405020304" pitchFamily="18" charset="0"/>
                <a:cs typeface="Times New Roman" panose="02020603050405020304" pitchFamily="18" charset="0"/>
              </a:rPr>
              <a:t>TỶ</a:t>
            </a:r>
            <a:r>
              <a:rPr lang="en-US" sz="1600" b="1" baseline="0">
                <a:latin typeface="Times New Roman" panose="02020603050405020304" pitchFamily="18" charset="0"/>
                <a:cs typeface="Times New Roman" panose="02020603050405020304" pitchFamily="18" charset="0"/>
              </a:rPr>
              <a:t> TRỌNG CÁC KHOẢN MỤC ĐẦU TƯ</a:t>
            </a:r>
            <a:endParaRPr lang="en-US" sz="1600" b="1">
              <a:latin typeface="Times New Roman" panose="02020603050405020304" pitchFamily="18" charset="0"/>
              <a:cs typeface="Times New Roman" panose="02020603050405020304" pitchFamily="18" charset="0"/>
            </a:endParaRPr>
          </a:p>
        </c:rich>
      </c:tx>
      <c:overlay val="0"/>
      <c:spPr>
        <a:noFill/>
        <a:ln>
          <a:noFill/>
        </a:ln>
        <a:effectLst/>
      </c:spPr>
    </c:title>
    <c:autoTitleDeleted val="0"/>
    <c:plotArea>
      <c:layout/>
      <c:pieChart>
        <c:varyColors val="1"/>
        <c:ser>
          <c:idx val="0"/>
          <c:order val="0"/>
          <c:dPt>
            <c:idx val="0"/>
            <c:bubble3D val="0"/>
            <c:spPr>
              <a:solidFill>
                <a:srgbClr val="FF0000"/>
              </a:solidFill>
              <a:ln w="19050">
                <a:solidFill>
                  <a:schemeClr val="lt1"/>
                </a:solidFill>
              </a:ln>
              <a:effectLst/>
            </c:spPr>
            <c:extLst>
              <c:ext xmlns:c16="http://schemas.microsoft.com/office/drawing/2014/chart" uri="{C3380CC4-5D6E-409C-BE32-E72D297353CC}">
                <c16:uniqueId val="{00000001-C8B3-47C5-B232-5E29F8A6C73F}"/>
              </c:ext>
            </c:extLst>
          </c:dPt>
          <c:dPt>
            <c:idx val="1"/>
            <c:bubble3D val="0"/>
            <c:spPr>
              <a:solidFill>
                <a:srgbClr val="FA8606"/>
              </a:solidFill>
              <a:ln w="19050">
                <a:solidFill>
                  <a:schemeClr val="lt1"/>
                </a:solidFill>
              </a:ln>
              <a:effectLst/>
            </c:spPr>
            <c:extLst>
              <c:ext xmlns:c16="http://schemas.microsoft.com/office/drawing/2014/chart" uri="{C3380CC4-5D6E-409C-BE32-E72D297353CC}">
                <c16:uniqueId val="{00000003-C8B3-47C5-B232-5E29F8A6C73F}"/>
              </c:ext>
            </c:extLst>
          </c:dPt>
          <c:dPt>
            <c:idx val="2"/>
            <c:bubble3D val="0"/>
            <c:spPr>
              <a:solidFill>
                <a:srgbClr val="FFFF00"/>
              </a:solidFill>
              <a:ln w="19050">
                <a:solidFill>
                  <a:schemeClr val="lt1"/>
                </a:solidFill>
              </a:ln>
              <a:effectLst/>
            </c:spPr>
            <c:extLst>
              <c:ext xmlns:c16="http://schemas.microsoft.com/office/drawing/2014/chart" uri="{C3380CC4-5D6E-409C-BE32-E72D297353CC}">
                <c16:uniqueId val="{00000005-C8B3-47C5-B232-5E29F8A6C73F}"/>
              </c:ext>
            </c:extLst>
          </c:dPt>
          <c:dPt>
            <c:idx val="3"/>
            <c:bubble3D val="0"/>
            <c:spPr>
              <a:solidFill>
                <a:srgbClr val="92D050"/>
              </a:solidFill>
              <a:ln w="19050">
                <a:solidFill>
                  <a:schemeClr val="lt1"/>
                </a:solidFill>
              </a:ln>
              <a:effectLst/>
            </c:spPr>
            <c:extLst>
              <c:ext xmlns:c16="http://schemas.microsoft.com/office/drawing/2014/chart" uri="{C3380CC4-5D6E-409C-BE32-E72D297353CC}">
                <c16:uniqueId val="{00000007-C8B3-47C5-B232-5E29F8A6C73F}"/>
              </c:ext>
            </c:extLst>
          </c:dPt>
          <c:dPt>
            <c:idx val="4"/>
            <c:bubble3D val="0"/>
            <c:spPr>
              <a:solidFill>
                <a:srgbClr val="00B0F0"/>
              </a:solidFill>
              <a:ln w="19050">
                <a:solidFill>
                  <a:schemeClr val="lt1"/>
                </a:solidFill>
              </a:ln>
              <a:effectLst/>
            </c:spPr>
            <c:extLst>
              <c:ext xmlns:c16="http://schemas.microsoft.com/office/drawing/2014/chart" uri="{C3380CC4-5D6E-409C-BE32-E72D297353CC}">
                <c16:uniqueId val="{00000009-C8B3-47C5-B232-5E29F8A6C73F}"/>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C8B3-47C5-B232-5E29F8A6C73F}"/>
              </c:ext>
            </c:extLst>
          </c:dPt>
          <c:dPt>
            <c:idx val="6"/>
            <c:bubble3D val="0"/>
            <c:spPr>
              <a:solidFill>
                <a:srgbClr val="7030A0"/>
              </a:solidFill>
              <a:ln w="19050">
                <a:solidFill>
                  <a:schemeClr val="lt1"/>
                </a:solidFill>
              </a:ln>
              <a:effectLst/>
            </c:spPr>
            <c:extLst>
              <c:ext xmlns:c16="http://schemas.microsoft.com/office/drawing/2014/chart" uri="{C3380CC4-5D6E-409C-BE32-E72D297353CC}">
                <c16:uniqueId val="{0000000D-C8B3-47C5-B232-5E29F8A6C73F}"/>
              </c:ext>
            </c:extLst>
          </c:dPt>
          <c:dLbls>
            <c:dLbl>
              <c:idx val="1"/>
              <c:layout>
                <c:manualLayout>
                  <c:x val="-2.0620893736512814E-2"/>
                  <c:y val="6.0108479239698732E-2"/>
                </c:manualLayout>
              </c:layout>
              <c:dLblPos val="bestFit"/>
              <c:showLegendKey val="1"/>
              <c:showVal val="1"/>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C8B3-47C5-B232-5E29F8A6C73F}"/>
                </c:ext>
              </c:extLst>
            </c:dLbl>
            <c:dLbl>
              <c:idx val="2"/>
              <c:layout>
                <c:manualLayout>
                  <c:x val="-4.9172900448607483E-2"/>
                  <c:y val="5.1760079345296132E-2"/>
                </c:manualLayout>
              </c:layout>
              <c:dLblPos val="bestFit"/>
              <c:showLegendKey val="1"/>
              <c:showVal val="1"/>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C8B3-47C5-B232-5E29F8A6C73F}"/>
                </c:ext>
              </c:extLst>
            </c:dLbl>
            <c:dLbl>
              <c:idx val="3"/>
              <c:layout>
                <c:manualLayout>
                  <c:x val="-2.8067209625248675E-2"/>
                  <c:y val="-1.3357374095611923E-2"/>
                </c:manualLayout>
              </c:layout>
              <c:dLblPos val="bestFit"/>
              <c:showLegendKey val="1"/>
              <c:showVal val="1"/>
              <c:showCatName val="1"/>
              <c:showSerName val="0"/>
              <c:showPercent val="1"/>
              <c:showBubbleSize val="0"/>
              <c:extLst>
                <c:ext xmlns:c15="http://schemas.microsoft.com/office/drawing/2012/chart" uri="{CE6537A1-D6FC-4f65-9D91-7224C49458BB}">
                  <c15:layout>
                    <c:manualLayout>
                      <c:w val="0.23545288684706098"/>
                      <c:h val="7.8391475008440417E-2"/>
                    </c:manualLayout>
                  </c15:layout>
                </c:ext>
                <c:ext xmlns:c16="http://schemas.microsoft.com/office/drawing/2014/chart" uri="{C3380CC4-5D6E-409C-BE32-E72D297353CC}">
                  <c16:uniqueId val="{00000007-C8B3-47C5-B232-5E29F8A6C73F}"/>
                </c:ext>
              </c:extLst>
            </c:dLbl>
            <c:dLbl>
              <c:idx val="4"/>
              <c:layout>
                <c:manualLayout>
                  <c:x val="-3.7584545195946888E-2"/>
                  <c:y val="8.3483998944025705E-3"/>
                </c:manualLayout>
              </c:layout>
              <c:dLblPos val="bestFit"/>
              <c:showLegendKey val="1"/>
              <c:showVal val="1"/>
              <c:showCatName val="1"/>
              <c:showSerName val="0"/>
              <c:showPercent val="1"/>
              <c:showBubbleSize val="0"/>
              <c:extLst>
                <c:ext xmlns:c15="http://schemas.microsoft.com/office/drawing/2012/chart" uri="{CE6537A1-D6FC-4f65-9D91-7224C49458BB}">
                  <c15:layout>
                    <c:manualLayout>
                      <c:w val="0.21173885905007123"/>
                      <c:h val="7.4133791062295104E-2"/>
                    </c:manualLayout>
                  </c15:layout>
                </c:ext>
                <c:ext xmlns:c16="http://schemas.microsoft.com/office/drawing/2014/chart" uri="{C3380CC4-5D6E-409C-BE32-E72D297353CC}">
                  <c16:uniqueId val="{00000009-C8B3-47C5-B232-5E29F8A6C73F}"/>
                </c:ext>
              </c:extLst>
            </c:dLbl>
            <c:dLbl>
              <c:idx val="5"/>
              <c:layout>
                <c:manualLayout>
                  <c:x val="-3.6483119687676549E-2"/>
                  <c:y val="-3.0610445998325274E-17"/>
                </c:manualLayout>
              </c:layout>
              <c:dLblPos val="bestFit"/>
              <c:showLegendKey val="1"/>
              <c:showVal val="1"/>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B-C8B3-47C5-B232-5E29F8A6C73F}"/>
                </c:ext>
              </c:extLst>
            </c:dLbl>
            <c:spPr>
              <a:noFill/>
              <a:ln>
                <a:noFill/>
              </a:ln>
              <a:effectLst/>
            </c:spPr>
            <c:txPr>
              <a:bodyPr wrap="square" lIns="38100" tIns="19050" rIns="38100" bIns="19050" anchor="ctr">
                <a:spAutoFit/>
              </a:bodyPr>
              <a:lstStyle/>
              <a:p>
                <a:pPr>
                  <a:defRPr sz="1800"/>
                </a:pPr>
                <a:endParaRPr lang="en-US"/>
              </a:p>
            </c:txPr>
            <c:dLblPos val="outEnd"/>
            <c:showLegendKey val="1"/>
            <c:showVal val="1"/>
            <c:showCatName val="1"/>
            <c:showSerName val="0"/>
            <c:showPercent val="1"/>
            <c:showBubbleSize val="0"/>
            <c:showLeaderLines val="1"/>
            <c:extLst>
              <c:ext xmlns:c15="http://schemas.microsoft.com/office/drawing/2012/chart" uri="{CE6537A1-D6FC-4f65-9D91-7224C49458BB}"/>
            </c:extLst>
          </c:dLbls>
          <c:cat>
            <c:strRef>
              <c:f>('TMDT-SVDT'!$D$8,'TMDT-SVDT'!$D$9,'TMDT-SVDT'!$D$20,'TMDT-SVDT'!$D$36,'TMDT-SVDT'!$D$54,'TMDT-SVDT'!$D$105,'TMDT-SVDT'!$D$144)</c:f>
              <c:strCache>
                <c:ptCount val="7"/>
                <c:pt idx="0">
                  <c:v>CHI PHÍ BỒI THƯỜNG, HỖ TRỢ, TÁI ĐỊNH CƯ</c:v>
                </c:pt>
                <c:pt idx="1">
                  <c:v>CHI PHÍ XÂY DỰNG</c:v>
                </c:pt>
                <c:pt idx="2">
                  <c:v>CHI PHÍ THIẾT BỊ</c:v>
                </c:pt>
                <c:pt idx="3">
                  <c:v>CHI PHÍ QUẢN LÝ DỰ ÁN</c:v>
                </c:pt>
                <c:pt idx="4">
                  <c:v>CHI PHÍ TƯ VẤN XÂY DỰNG</c:v>
                </c:pt>
                <c:pt idx="5">
                  <c:v>CHI PHÍ KHÁC</c:v>
                </c:pt>
                <c:pt idx="6">
                  <c:v>CHI PHÍ DỰ PHÒNG</c:v>
                </c:pt>
              </c:strCache>
            </c:strRef>
          </c:cat>
          <c:val>
            <c:numRef>
              <c:f>('TMDT-SVDT'!$I$8,'TMDT-SVDT'!$I$9,'TMDT-SVDT'!$I$20,'TMDT-SVDT'!$I$36,'TMDT-SVDT'!$I$54,'TMDT-SVDT'!$I$105,'TMDT-SVDT'!$I$144)</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E-C8B3-47C5-B232-5E29F8A6C73F}"/>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zero"/>
    <c:showDLblsOverMax val="0"/>
  </c:chart>
  <c:spPr>
    <a:no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233" l="0.70000000000000062" r="0.70000000000000062" t="0.75000000000000233" header="0.30000000000000032" footer="0.30000000000000032"/>
    <c:pageSetup orientation="portrait"/>
  </c:printSettings>
</c:chartSpace>
</file>

<file path=xl/ctrlProps/ctrlProp1.xml><?xml version="1.0" encoding="utf-8"?>
<formControlPr xmlns="http://schemas.microsoft.com/office/spreadsheetml/2009/9/main" objectType="Drop" dropStyle="combo" dx="20" fmlaLink="$L$15" fmlaRange="Data!$B$3:$B$7" noThreeD="1" sel="2" val="0"/>
</file>

<file path=xl/ctrlProps/ctrlProp2.xml><?xml version="1.0" encoding="utf-8"?>
<formControlPr xmlns="http://schemas.microsoft.com/office/spreadsheetml/2009/9/main" objectType="Drop" dropStyle="combo" dx="20" fmlaLink="$L$16" fmlaRange="CF_LIST_LCT" noThreeD="1" sel="1" val="0"/>
</file>

<file path=xl/ctrlProps/ctrlProp3.xml><?xml version="1.0" encoding="utf-8"?>
<formControlPr xmlns="http://schemas.microsoft.com/office/spreadsheetml/2009/9/main" objectType="Drop" dropLines="3" dropStyle="combo" dx="20" fmlaLink="$L$19" fmlaRange="Data!$B$35:$B$37" noThreeD="1" sel="3" val="0"/>
</file>

<file path=xl/ctrlProps/ctrlProp4.xml><?xml version="1.0" encoding="utf-8"?>
<formControlPr xmlns="http://schemas.microsoft.com/office/spreadsheetml/2009/9/main" objectType="Drop" dropLines="5" dropStyle="combo" dx="20" fmlaLink="$L$18" fmlaRange="Data!$B$21:$B$25" noThreeD="1" sel="3" val="0"/>
</file>

<file path=xl/ctrlProps/ctrlProp5.xml><?xml version="1.0" encoding="utf-8"?>
<formControlPr xmlns="http://schemas.microsoft.com/office/spreadsheetml/2009/9/main" objectType="Drop" dropLines="3" dropStyle="combo" dx="20" fmlaLink="$L$20" fmlaRange="Data!$B$40:$B$42" noThreeD="1" sel="1" val="0"/>
</file>

<file path=xl/ctrlProps/ctrlProp6.xml><?xml version="1.0" encoding="utf-8"?>
<formControlPr xmlns="http://schemas.microsoft.com/office/spreadsheetml/2009/9/main" objectType="Drop" dropLines="3" dropStyle="combo" dx="20" fmlaLink="$L$21" fmlaRange="Data!$B$45:$B$47" noThreeD="1" sel="1" val="0"/>
</file>

<file path=xl/ctrlProps/ctrlProp7.xml><?xml version="1.0" encoding="utf-8"?>
<formControlPr xmlns="http://schemas.microsoft.com/office/spreadsheetml/2009/9/main" objectType="Drop" dropLines="2" dropStyle="combo" dx="20" fmlaLink="$L$17" fmlaRange="Data!$B$17:$B$18" noThreeD="1" sel="2" val="0"/>
</file>

<file path=xl/ctrlProps/ctrlProp8.xml><?xml version="1.0" encoding="utf-8"?>
<formControlPr xmlns="http://schemas.microsoft.com/office/spreadsheetml/2009/9/main" objectType="Drop" dropStyle="combo" dx="20" fmlaLink="Config!$C$82" fmlaRange="Config!$A$82:$A$84" noThreeD="1" sel="3" val="0"/>
</file>

<file path=xl/ctrlProps/ctrlProp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https://qlda.gxd.vn/dinh-muc/phu-luc-8-thong-tu-12-2021-TT-BXD.html#_1-thuyet-minh-chung-ap-dung-dinh-muc-chi-phi-quan-ly-du-an-va-tu-van-dau-tu-xay-dung" TargetMode="External"/></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9525</xdr:colOff>
          <xdr:row>14</xdr:row>
          <xdr:rowOff>0</xdr:rowOff>
        </xdr:from>
        <xdr:to>
          <xdr:col>13</xdr:col>
          <xdr:colOff>1457325</xdr:colOff>
          <xdr:row>14</xdr:row>
          <xdr:rowOff>342900</xdr:rowOff>
        </xdr:to>
        <xdr:sp macro="" textlink="">
          <xdr:nvSpPr>
            <xdr:cNvPr id="68609" name="Drop Down 1" hidden="1">
              <a:extLst>
                <a:ext uri="{63B3BB69-23CF-44E3-9099-C40C66FF867C}">
                  <a14:compatExt spid="_x0000_s68609"/>
                </a:ext>
                <a:ext uri="{FF2B5EF4-FFF2-40B4-BE49-F238E27FC236}">
                  <a16:creationId xmlns:a16="http://schemas.microsoft.com/office/drawing/2014/main" id="{00000000-0008-0000-0200-000001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409575</xdr:rowOff>
        </xdr:from>
        <xdr:to>
          <xdr:col>13</xdr:col>
          <xdr:colOff>1457325</xdr:colOff>
          <xdr:row>15</xdr:row>
          <xdr:rowOff>342900</xdr:rowOff>
        </xdr:to>
        <xdr:sp macro="" textlink="">
          <xdr:nvSpPr>
            <xdr:cNvPr id="68611" name="Drop Down 3" hidden="1">
              <a:extLst>
                <a:ext uri="{63B3BB69-23CF-44E3-9099-C40C66FF867C}">
                  <a14:compatExt spid="_x0000_s68611"/>
                </a:ext>
                <a:ext uri="{FF2B5EF4-FFF2-40B4-BE49-F238E27FC236}">
                  <a16:creationId xmlns:a16="http://schemas.microsoft.com/office/drawing/2014/main" id="{00000000-0008-0000-0200-000003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9525</xdr:rowOff>
        </xdr:from>
        <xdr:to>
          <xdr:col>13</xdr:col>
          <xdr:colOff>1438275</xdr:colOff>
          <xdr:row>18</xdr:row>
          <xdr:rowOff>342900</xdr:rowOff>
        </xdr:to>
        <xdr:sp macro="" textlink="">
          <xdr:nvSpPr>
            <xdr:cNvPr id="68612" name="Drop Down 4" hidden="1">
              <a:extLst>
                <a:ext uri="{63B3BB69-23CF-44E3-9099-C40C66FF867C}">
                  <a14:compatExt spid="_x0000_s68612"/>
                </a:ext>
                <a:ext uri="{FF2B5EF4-FFF2-40B4-BE49-F238E27FC236}">
                  <a16:creationId xmlns:a16="http://schemas.microsoft.com/office/drawing/2014/main" id="{00000000-0008-0000-0200-000004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9525</xdr:rowOff>
        </xdr:from>
        <xdr:to>
          <xdr:col>13</xdr:col>
          <xdr:colOff>1438275</xdr:colOff>
          <xdr:row>17</xdr:row>
          <xdr:rowOff>342900</xdr:rowOff>
        </xdr:to>
        <xdr:sp macro="" textlink="">
          <xdr:nvSpPr>
            <xdr:cNvPr id="68613" name="Drop Down 5" hidden="1">
              <a:extLst>
                <a:ext uri="{63B3BB69-23CF-44E3-9099-C40C66FF867C}">
                  <a14:compatExt spid="_x0000_s68613"/>
                </a:ext>
                <a:ext uri="{FF2B5EF4-FFF2-40B4-BE49-F238E27FC236}">
                  <a16:creationId xmlns:a16="http://schemas.microsoft.com/office/drawing/2014/main" id="{00000000-0008-0000-0200-000005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0</xdr:rowOff>
        </xdr:from>
        <xdr:to>
          <xdr:col>13</xdr:col>
          <xdr:colOff>1438275</xdr:colOff>
          <xdr:row>19</xdr:row>
          <xdr:rowOff>342900</xdr:rowOff>
        </xdr:to>
        <xdr:sp macro="" textlink="">
          <xdr:nvSpPr>
            <xdr:cNvPr id="68614" name="Drop Down 6" hidden="1">
              <a:extLst>
                <a:ext uri="{63B3BB69-23CF-44E3-9099-C40C66FF867C}">
                  <a14:compatExt spid="_x0000_s68614"/>
                </a:ext>
                <a:ext uri="{FF2B5EF4-FFF2-40B4-BE49-F238E27FC236}">
                  <a16:creationId xmlns:a16="http://schemas.microsoft.com/office/drawing/2014/main" id="{00000000-0008-0000-0200-000006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9525</xdr:rowOff>
        </xdr:from>
        <xdr:to>
          <xdr:col>13</xdr:col>
          <xdr:colOff>1438275</xdr:colOff>
          <xdr:row>20</xdr:row>
          <xdr:rowOff>342900</xdr:rowOff>
        </xdr:to>
        <xdr:sp macro="" textlink="">
          <xdr:nvSpPr>
            <xdr:cNvPr id="68618" name="Drop Down 10" hidden="1">
              <a:extLst>
                <a:ext uri="{63B3BB69-23CF-44E3-9099-C40C66FF867C}">
                  <a14:compatExt spid="_x0000_s68618"/>
                </a:ext>
                <a:ext uri="{FF2B5EF4-FFF2-40B4-BE49-F238E27FC236}">
                  <a16:creationId xmlns:a16="http://schemas.microsoft.com/office/drawing/2014/main" id="{00000000-0008-0000-0200-00000A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0</xdr:rowOff>
        </xdr:from>
        <xdr:to>
          <xdr:col>13</xdr:col>
          <xdr:colOff>1447800</xdr:colOff>
          <xdr:row>16</xdr:row>
          <xdr:rowOff>342900</xdr:rowOff>
        </xdr:to>
        <xdr:sp macro="" textlink="">
          <xdr:nvSpPr>
            <xdr:cNvPr id="68621" name="Drop Down 13" hidden="1">
              <a:extLst>
                <a:ext uri="{63B3BB69-23CF-44E3-9099-C40C66FF867C}">
                  <a14:compatExt spid="_x0000_s68621"/>
                </a:ext>
                <a:ext uri="{FF2B5EF4-FFF2-40B4-BE49-F238E27FC236}">
                  <a16:creationId xmlns:a16="http://schemas.microsoft.com/office/drawing/2014/main" id="{00000000-0008-0000-0200-00000D0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16</xdr:col>
      <xdr:colOff>0</xdr:colOff>
      <xdr:row>68</xdr:row>
      <xdr:rowOff>0</xdr:rowOff>
    </xdr:from>
    <xdr:to>
      <xdr:col>24</xdr:col>
      <xdr:colOff>147305</xdr:colOff>
      <xdr:row>97</xdr:row>
      <xdr:rowOff>91753</xdr:rowOff>
    </xdr:to>
    <xdr:pic>
      <xdr:nvPicPr>
        <xdr:cNvPr id="2" name="Picture 1">
          <a:extLst>
            <a:ext uri="{FF2B5EF4-FFF2-40B4-BE49-F238E27FC236}">
              <a16:creationId xmlns:a16="http://schemas.microsoft.com/office/drawing/2014/main" id="{3B4D659A-217D-78D1-25BB-365CFD78F2C6}"/>
            </a:ext>
          </a:extLst>
        </xdr:cNvPr>
        <xdr:cNvPicPr>
          <a:picLocks noChangeAspect="1"/>
        </xdr:cNvPicPr>
      </xdr:nvPicPr>
      <xdr:blipFill>
        <a:blip xmlns:r="http://schemas.openxmlformats.org/officeDocument/2006/relationships" r:embed="rId1"/>
        <a:stretch>
          <a:fillRect/>
        </a:stretch>
      </xdr:blipFill>
      <xdr:spPr>
        <a:xfrm>
          <a:off x="13824857" y="21390429"/>
          <a:ext cx="8104762" cy="6209524"/>
        </a:xfrm>
        <a:prstGeom prst="rect">
          <a:avLst/>
        </a:prstGeom>
      </xdr:spPr>
    </xdr:pic>
    <xdr:clientData/>
  </xdr:twoCellAnchor>
  <xdr:twoCellAnchor editAs="oneCell">
    <xdr:from>
      <xdr:col>8</xdr:col>
      <xdr:colOff>0</xdr:colOff>
      <xdr:row>75</xdr:row>
      <xdr:rowOff>0</xdr:rowOff>
    </xdr:from>
    <xdr:to>
      <xdr:col>14</xdr:col>
      <xdr:colOff>253543</xdr:colOff>
      <xdr:row>116</xdr:row>
      <xdr:rowOff>34324</xdr:rowOff>
    </xdr:to>
    <xdr:pic>
      <xdr:nvPicPr>
        <xdr:cNvPr id="3" name="Picture 2">
          <a:extLst>
            <a:ext uri="{FF2B5EF4-FFF2-40B4-BE49-F238E27FC236}">
              <a16:creationId xmlns:a16="http://schemas.microsoft.com/office/drawing/2014/main" id="{4CC4C3EE-7848-466A-274E-95297BA720F8}"/>
            </a:ext>
          </a:extLst>
        </xdr:cNvPr>
        <xdr:cNvPicPr>
          <a:picLocks noChangeAspect="1"/>
        </xdr:cNvPicPr>
      </xdr:nvPicPr>
      <xdr:blipFill>
        <a:blip xmlns:r="http://schemas.openxmlformats.org/officeDocument/2006/relationships" r:embed="rId2"/>
        <a:stretch>
          <a:fillRect/>
        </a:stretch>
      </xdr:blipFill>
      <xdr:spPr>
        <a:xfrm>
          <a:off x="3505200" y="22870886"/>
          <a:ext cx="7285714" cy="84380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153762</xdr:colOff>
      <xdr:row>3</xdr:row>
      <xdr:rowOff>0</xdr:rowOff>
    </xdr:from>
    <xdr:to>
      <xdr:col>11</xdr:col>
      <xdr:colOff>31842</xdr:colOff>
      <xdr:row>3</xdr:row>
      <xdr:rowOff>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4954362" y="542925"/>
          <a:ext cx="2621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337704</xdr:colOff>
      <xdr:row>157</xdr:row>
      <xdr:rowOff>100343</xdr:rowOff>
    </xdr:from>
    <xdr:to>
      <xdr:col>12</xdr:col>
      <xdr:colOff>2014104</xdr:colOff>
      <xdr:row>191</xdr:row>
      <xdr:rowOff>155862</xdr:rowOff>
    </xdr:to>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531399</xdr:colOff>
      <xdr:row>5</xdr:row>
      <xdr:rowOff>142155</xdr:rowOff>
    </xdr:from>
    <xdr:to>
      <xdr:col>8</xdr:col>
      <xdr:colOff>833459</xdr:colOff>
      <xdr:row>8</xdr:row>
      <xdr:rowOff>106295</xdr:rowOff>
    </xdr:to>
    <xdr:pic>
      <xdr:nvPicPr>
        <xdr:cNvPr id="303123" name="Picture 1">
          <a:hlinkClick xmlns:r="http://schemas.openxmlformats.org/officeDocument/2006/relationships" r:id="rId1"/>
          <a:extLst>
            <a:ext uri="{FF2B5EF4-FFF2-40B4-BE49-F238E27FC236}">
              <a16:creationId xmlns:a16="http://schemas.microsoft.com/office/drawing/2014/main" id="{00000000-0008-0000-0800-000013A00400}"/>
            </a:ext>
          </a:extLst>
        </xdr:cNvPr>
        <xdr:cNvPicPr>
          <a:picLocks noChangeAspect="1"/>
        </xdr:cNvPicPr>
      </xdr:nvPicPr>
      <xdr:blipFill>
        <a:blip xmlns:r="http://schemas.openxmlformats.org/officeDocument/2006/relationships" r:embed="rId2"/>
        <a:srcRect/>
        <a:stretch>
          <a:fillRect/>
        </a:stretch>
      </xdr:blipFill>
      <xdr:spPr bwMode="auto">
        <a:xfrm>
          <a:off x="7960899" y="1240331"/>
          <a:ext cx="2306952" cy="569258"/>
        </a:xfrm>
        <a:prstGeom prst="rect">
          <a:avLst/>
        </a:prstGeom>
        <a:noFill/>
        <a:ln w="9525">
          <a:solidFill>
            <a:srgbClr val="FF0000"/>
          </a:solid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285750</xdr:colOff>
      <xdr:row>1</xdr:row>
      <xdr:rowOff>0</xdr:rowOff>
    </xdr:from>
    <xdr:to>
      <xdr:col>5</xdr:col>
      <xdr:colOff>451500</xdr:colOff>
      <xdr:row>1</xdr:row>
      <xdr:rowOff>0</xdr:rowOff>
    </xdr:to>
    <xdr:cxnSp macro="">
      <xdr:nvCxnSpPr>
        <xdr:cNvPr id="2" name="Straight Connector 1">
          <a:extLst>
            <a:ext uri="{FF2B5EF4-FFF2-40B4-BE49-F238E27FC236}">
              <a16:creationId xmlns:a16="http://schemas.microsoft.com/office/drawing/2014/main" id="{00000000-0008-0000-0C00-000002000000}"/>
            </a:ext>
          </a:extLst>
        </xdr:cNvPr>
        <xdr:cNvCxnSpPr/>
      </xdr:nvCxnSpPr>
      <xdr:spPr>
        <a:xfrm>
          <a:off x="1647825" y="228600"/>
          <a:ext cx="14040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47625</xdr:colOff>
      <xdr:row>2</xdr:row>
      <xdr:rowOff>9525</xdr:rowOff>
    </xdr:from>
    <xdr:to>
      <xdr:col>12</xdr:col>
      <xdr:colOff>396600</xdr:colOff>
      <xdr:row>2</xdr:row>
      <xdr:rowOff>9525</xdr:rowOff>
    </xdr:to>
    <xdr:cxnSp macro="">
      <xdr:nvCxnSpPr>
        <xdr:cNvPr id="4" name="Straight Connector 3">
          <a:extLst>
            <a:ext uri="{FF2B5EF4-FFF2-40B4-BE49-F238E27FC236}">
              <a16:creationId xmlns:a16="http://schemas.microsoft.com/office/drawing/2014/main" id="{00000000-0008-0000-0C00-000004000000}"/>
            </a:ext>
          </a:extLst>
        </xdr:cNvPr>
        <xdr:cNvCxnSpPr/>
      </xdr:nvCxnSpPr>
      <xdr:spPr>
        <a:xfrm>
          <a:off x="4552950" y="466725"/>
          <a:ext cx="16920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295275</xdr:colOff>
      <xdr:row>1</xdr:row>
      <xdr:rowOff>0</xdr:rowOff>
    </xdr:from>
    <xdr:to>
      <xdr:col>5</xdr:col>
      <xdr:colOff>389025</xdr:colOff>
      <xdr:row>1</xdr:row>
      <xdr:rowOff>0</xdr:rowOff>
    </xdr:to>
    <xdr:cxnSp macro="">
      <xdr:nvCxnSpPr>
        <xdr:cNvPr id="3" name="Straight Connector 2">
          <a:extLst>
            <a:ext uri="{FF2B5EF4-FFF2-40B4-BE49-F238E27FC236}">
              <a16:creationId xmlns:a16="http://schemas.microsoft.com/office/drawing/2014/main" id="{00000000-0008-0000-0D00-000003000000}"/>
            </a:ext>
          </a:extLst>
        </xdr:cNvPr>
        <xdr:cNvCxnSpPr/>
      </xdr:nvCxnSpPr>
      <xdr:spPr>
        <a:xfrm>
          <a:off x="1657350" y="228600"/>
          <a:ext cx="13320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47625</xdr:colOff>
      <xdr:row>2</xdr:row>
      <xdr:rowOff>9525</xdr:rowOff>
    </xdr:from>
    <xdr:to>
      <xdr:col>12</xdr:col>
      <xdr:colOff>396600</xdr:colOff>
      <xdr:row>2</xdr:row>
      <xdr:rowOff>9525</xdr:rowOff>
    </xdr:to>
    <xdr:cxnSp macro="">
      <xdr:nvCxnSpPr>
        <xdr:cNvPr id="6" name="Straight Connector 5">
          <a:extLst>
            <a:ext uri="{FF2B5EF4-FFF2-40B4-BE49-F238E27FC236}">
              <a16:creationId xmlns:a16="http://schemas.microsoft.com/office/drawing/2014/main" id="{00000000-0008-0000-0D00-000006000000}"/>
            </a:ext>
          </a:extLst>
        </xdr:cNvPr>
        <xdr:cNvCxnSpPr/>
      </xdr:nvCxnSpPr>
      <xdr:spPr>
        <a:xfrm>
          <a:off x="4495800" y="466725"/>
          <a:ext cx="16920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0</xdr:row>
          <xdr:rowOff>9525</xdr:rowOff>
        </xdr:from>
        <xdr:to>
          <xdr:col>10</xdr:col>
          <xdr:colOff>304800</xdr:colOff>
          <xdr:row>1</xdr:row>
          <xdr:rowOff>9525</xdr:rowOff>
        </xdr:to>
        <xdr:sp macro="" textlink="">
          <xdr:nvSpPr>
            <xdr:cNvPr id="82946" name="Drop Down 2" hidden="1">
              <a:extLst>
                <a:ext uri="{63B3BB69-23CF-44E3-9099-C40C66FF867C}">
                  <a14:compatExt spid="_x0000_s82946"/>
                </a:ext>
                <a:ext uri="{FF2B5EF4-FFF2-40B4-BE49-F238E27FC236}">
                  <a16:creationId xmlns:a16="http://schemas.microsoft.com/office/drawing/2014/main" id="{00000000-0008-0000-1000-0000024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1362634</xdr:colOff>
      <xdr:row>78</xdr:row>
      <xdr:rowOff>23347</xdr:rowOff>
    </xdr:from>
    <xdr:to>
      <xdr:col>1</xdr:col>
      <xdr:colOff>2740175</xdr:colOff>
      <xdr:row>79</xdr:row>
      <xdr:rowOff>233083</xdr:rowOff>
    </xdr:to>
    <xdr:pic>
      <xdr:nvPicPr>
        <xdr:cNvPr id="5" name="Picture 4">
          <a:extLst>
            <a:ext uri="{FF2B5EF4-FFF2-40B4-BE49-F238E27FC236}">
              <a16:creationId xmlns:a16="http://schemas.microsoft.com/office/drawing/2014/main" id="{00000000-0008-0000-1700-000005000000}"/>
            </a:ext>
          </a:extLst>
        </xdr:cNvPr>
        <xdr:cNvPicPr>
          <a:picLocks noChangeAspect="1"/>
        </xdr:cNvPicPr>
      </xdr:nvPicPr>
      <xdr:blipFill rotWithShape="1">
        <a:blip xmlns:r="http://schemas.openxmlformats.org/officeDocument/2006/relationships" r:embed="rId1"/>
        <a:srcRect b="9353"/>
        <a:stretch/>
      </xdr:blipFill>
      <xdr:spPr>
        <a:xfrm>
          <a:off x="1713154" y="6629887"/>
          <a:ext cx="1377541" cy="461196"/>
        </a:xfrm>
        <a:prstGeom prst="rect">
          <a:avLst/>
        </a:prstGeom>
      </xdr:spPr>
    </xdr:pic>
    <xdr:clientData/>
  </xdr:twoCellAnchor>
  <xdr:oneCellAnchor>
    <xdr:from>
      <xdr:col>1</xdr:col>
      <xdr:colOff>1362634</xdr:colOff>
      <xdr:row>130</xdr:row>
      <xdr:rowOff>23347</xdr:rowOff>
    </xdr:from>
    <xdr:ext cx="1377541" cy="460748"/>
    <xdr:pic>
      <xdr:nvPicPr>
        <xdr:cNvPr id="6" name="Picture 5">
          <a:extLst>
            <a:ext uri="{FF2B5EF4-FFF2-40B4-BE49-F238E27FC236}">
              <a16:creationId xmlns:a16="http://schemas.microsoft.com/office/drawing/2014/main" id="{00000000-0008-0000-1700-000006000000}"/>
            </a:ext>
          </a:extLst>
        </xdr:cNvPr>
        <xdr:cNvPicPr>
          <a:picLocks noChangeAspect="1"/>
        </xdr:cNvPicPr>
      </xdr:nvPicPr>
      <xdr:blipFill rotWithShape="1">
        <a:blip xmlns:r="http://schemas.openxmlformats.org/officeDocument/2006/relationships" r:embed="rId1"/>
        <a:srcRect b="9353"/>
        <a:stretch/>
      </xdr:blipFill>
      <xdr:spPr>
        <a:xfrm>
          <a:off x="1712258" y="5581465"/>
          <a:ext cx="1377541" cy="460748"/>
        </a:xfrm>
        <a:prstGeom prst="rect">
          <a:avLst/>
        </a:prstGeom>
      </xdr:spPr>
    </xdr:pic>
    <xdr:clientData/>
  </xdr:oneCellAnchor>
  <xdr:oneCellAnchor>
    <xdr:from>
      <xdr:col>1</xdr:col>
      <xdr:colOff>1362634</xdr:colOff>
      <xdr:row>179</xdr:row>
      <xdr:rowOff>23347</xdr:rowOff>
    </xdr:from>
    <xdr:ext cx="1377541" cy="460748"/>
    <xdr:pic>
      <xdr:nvPicPr>
        <xdr:cNvPr id="7" name="Picture 6">
          <a:extLst>
            <a:ext uri="{FF2B5EF4-FFF2-40B4-BE49-F238E27FC236}">
              <a16:creationId xmlns:a16="http://schemas.microsoft.com/office/drawing/2014/main" id="{00000000-0008-0000-1700-000007000000}"/>
            </a:ext>
          </a:extLst>
        </xdr:cNvPr>
        <xdr:cNvPicPr>
          <a:picLocks noChangeAspect="1"/>
        </xdr:cNvPicPr>
      </xdr:nvPicPr>
      <xdr:blipFill rotWithShape="1">
        <a:blip xmlns:r="http://schemas.openxmlformats.org/officeDocument/2006/relationships" r:embed="rId1"/>
        <a:srcRect b="9353"/>
        <a:stretch/>
      </xdr:blipFill>
      <xdr:spPr>
        <a:xfrm>
          <a:off x="1712258" y="20991794"/>
          <a:ext cx="1377541" cy="460748"/>
        </a:xfrm>
        <a:prstGeom prst="rect">
          <a:avLst/>
        </a:prstGeom>
      </xdr:spPr>
    </xdr:pic>
    <xdr:clientData/>
  </xdr:oneCellAnchor>
  <xdr:oneCellAnchor>
    <xdr:from>
      <xdr:col>1</xdr:col>
      <xdr:colOff>1362634</xdr:colOff>
      <xdr:row>21</xdr:row>
      <xdr:rowOff>23347</xdr:rowOff>
    </xdr:from>
    <xdr:ext cx="1377541" cy="460748"/>
    <xdr:pic>
      <xdr:nvPicPr>
        <xdr:cNvPr id="8" name="Picture 7">
          <a:extLst>
            <a:ext uri="{FF2B5EF4-FFF2-40B4-BE49-F238E27FC236}">
              <a16:creationId xmlns:a16="http://schemas.microsoft.com/office/drawing/2014/main" id="{00000000-0008-0000-1700-000008000000}"/>
            </a:ext>
          </a:extLst>
        </xdr:cNvPr>
        <xdr:cNvPicPr>
          <a:picLocks noChangeAspect="1"/>
        </xdr:cNvPicPr>
      </xdr:nvPicPr>
      <xdr:blipFill rotWithShape="1">
        <a:blip xmlns:r="http://schemas.openxmlformats.org/officeDocument/2006/relationships" r:embed="rId1"/>
        <a:srcRect b="9353"/>
        <a:stretch/>
      </xdr:blipFill>
      <xdr:spPr>
        <a:xfrm>
          <a:off x="1766046" y="14931653"/>
          <a:ext cx="1377541" cy="460748"/>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276225</xdr:colOff>
          <xdr:row>1</xdr:row>
          <xdr:rowOff>133350</xdr:rowOff>
        </xdr:from>
        <xdr:to>
          <xdr:col>5</xdr:col>
          <xdr:colOff>638175</xdr:colOff>
          <xdr:row>2</xdr:row>
          <xdr:rowOff>104775</xdr:rowOff>
        </xdr:to>
        <xdr:sp macro="" textlink="">
          <xdr:nvSpPr>
            <xdr:cNvPr id="193541" name="Button 5" hidden="1">
              <a:extLst>
                <a:ext uri="{63B3BB69-23CF-44E3-9099-C40C66FF867C}">
                  <a14:compatExt spid="_x0000_s193541"/>
                </a:ext>
                <a:ext uri="{FF2B5EF4-FFF2-40B4-BE49-F238E27FC236}">
                  <a16:creationId xmlns:a16="http://schemas.microsoft.com/office/drawing/2014/main" id="{00000000-0008-0000-1900-000005F402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Hiện/ Ẩn chi tiết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https://qlda.gxd.vn/van-ban/chat-luong/nghi-dinh-06-2021-qlcl.html" TargetMode="External"/><Relationship Id="rId13" Type="http://schemas.openxmlformats.org/officeDocument/2006/relationships/hyperlink" Target="https://qlda.gxd.vn/van-ban/chi-phi/thong-tu-11-2021-TT-BXD.html" TargetMode="External"/><Relationship Id="rId18" Type="http://schemas.openxmlformats.org/officeDocument/2006/relationships/hyperlink" Target="https://dutoan.gxd.vn/van-ban/chi-phi/thong-tu-11-2021-TT-BXD.html" TargetMode="External"/><Relationship Id="rId26" Type="http://schemas.openxmlformats.org/officeDocument/2006/relationships/printerSettings" Target="../printerSettings/printerSettings2.bin"/><Relationship Id="rId3" Type="http://schemas.openxmlformats.org/officeDocument/2006/relationships/hyperlink" Target="https://qlda.gxd.vn/van-ban/chat-luong/thong-tu-06-2021-TT-BXD.html" TargetMode="External"/><Relationship Id="rId21" Type="http://schemas.openxmlformats.org/officeDocument/2006/relationships/hyperlink" Target="https://qlda.gxd.vn/van-ban/chat-luong/nghi-dinh-06-2021-qlcl.html" TargetMode="External"/><Relationship Id="rId34" Type="http://schemas.openxmlformats.org/officeDocument/2006/relationships/ctrlProp" Target="../ctrlProps/ctrlProp6.xml"/><Relationship Id="rId7" Type="http://schemas.openxmlformats.org/officeDocument/2006/relationships/hyperlink" Target="https://qlda.gxd.vn/van-ban/chi-phi/thong-tu-11-2021-TT-BXD.html" TargetMode="External"/><Relationship Id="rId12" Type="http://schemas.openxmlformats.org/officeDocument/2006/relationships/hyperlink" Target="https://qlda.gxd.vn/van-ban/chat-luong/nghi-dinh-06-2021-qlcl.html" TargetMode="External"/><Relationship Id="rId17" Type="http://schemas.openxmlformats.org/officeDocument/2006/relationships/hyperlink" Target="https://dutoan.gxd.vn/van-ban/chi-phi/thong-tu-11-2021-TT-BXD.html" TargetMode="External"/><Relationship Id="rId25" Type="http://schemas.openxmlformats.org/officeDocument/2006/relationships/hyperlink" Target="https://qlda.gxd.vn/van-ban/chat-luong/nghi-dinh-06-2021-qlcl.html" TargetMode="External"/><Relationship Id="rId33" Type="http://schemas.openxmlformats.org/officeDocument/2006/relationships/ctrlProp" Target="../ctrlProps/ctrlProp5.xml"/><Relationship Id="rId2" Type="http://schemas.openxmlformats.org/officeDocument/2006/relationships/hyperlink" Target="https://qlda.gxd.vn/van-ban/chi-phi/thong-tu-11-2021-TT-BXD.html" TargetMode="External"/><Relationship Id="rId16" Type="http://schemas.openxmlformats.org/officeDocument/2006/relationships/hyperlink" Target="https://dutoan.gxd.vn/van-ban/chi-phi/thong-tu-11-2021-TT-BXD.html" TargetMode="External"/><Relationship Id="rId20" Type="http://schemas.openxmlformats.org/officeDocument/2006/relationships/hyperlink" Target="https://www.petrolimex.com.vn/ndi/thong-cao-bao-chi.html" TargetMode="External"/><Relationship Id="rId29" Type="http://schemas.openxmlformats.org/officeDocument/2006/relationships/ctrlProp" Target="../ctrlProps/ctrlProp1.xml"/><Relationship Id="rId1" Type="http://schemas.openxmlformats.org/officeDocument/2006/relationships/hyperlink" Target="https://qlda.gxd.vn/van-ban/chat-luong/nghi-dinh-06-2021-qlcl.html" TargetMode="External"/><Relationship Id="rId6" Type="http://schemas.openxmlformats.org/officeDocument/2006/relationships/hyperlink" Target="https://qlda.gxd.vn/van-ban/chi-phi/thong-tu-11-2021-TT-BXD.html" TargetMode="External"/><Relationship Id="rId11" Type="http://schemas.openxmlformats.org/officeDocument/2006/relationships/hyperlink" Target="https://qlda.gxd.vn/van-ban/chat-luong/nghi-dinh-06-2021-qlcl.html" TargetMode="External"/><Relationship Id="rId24" Type="http://schemas.openxmlformats.org/officeDocument/2006/relationships/hyperlink" Target="https://qlda.gxd.vn/van-ban/chat-luong/nghi-dinh-06-2021-qlcl.html" TargetMode="External"/><Relationship Id="rId32" Type="http://schemas.openxmlformats.org/officeDocument/2006/relationships/ctrlProp" Target="../ctrlProps/ctrlProp4.xml"/><Relationship Id="rId5" Type="http://schemas.openxmlformats.org/officeDocument/2006/relationships/hyperlink" Target="https://qlda.gxd.vn/van-ban/luat/luat-xay-dung-50-ghep-62.html" TargetMode="External"/><Relationship Id="rId15" Type="http://schemas.openxmlformats.org/officeDocument/2006/relationships/hyperlink" Target="https://dutoan.gxd.vn/van-ban/chi-phi/thong-tu-11-2021-TT-BXD.html" TargetMode="External"/><Relationship Id="rId23" Type="http://schemas.openxmlformats.org/officeDocument/2006/relationships/hyperlink" Target="https://qlda.gxd.vn/van-ban/chat-luong/nghi-dinh-06-2021-qlcl.html" TargetMode="External"/><Relationship Id="rId28" Type="http://schemas.openxmlformats.org/officeDocument/2006/relationships/vmlDrawing" Target="../drawings/vmlDrawing2.vml"/><Relationship Id="rId36" Type="http://schemas.openxmlformats.org/officeDocument/2006/relationships/comments" Target="../comments2.xml"/><Relationship Id="rId10" Type="http://schemas.openxmlformats.org/officeDocument/2006/relationships/hyperlink" Target="https://qlda.gxd.vn/van-ban/chat-luong/nghi-dinh-06-2021-qlcl.html" TargetMode="External"/><Relationship Id="rId19" Type="http://schemas.openxmlformats.org/officeDocument/2006/relationships/hyperlink" Target="https://dutoan.gxd.vn/van-ban/chi-phi/thong-tu-13-2021-TT-BXD.html" TargetMode="External"/><Relationship Id="rId31" Type="http://schemas.openxmlformats.org/officeDocument/2006/relationships/ctrlProp" Target="../ctrlProps/ctrlProp3.xml"/><Relationship Id="rId4" Type="http://schemas.openxmlformats.org/officeDocument/2006/relationships/hyperlink" Target="https://qlda.gxd.vn/van-ban/luat/luat-xay-dung-50-ghep-62.html" TargetMode="External"/><Relationship Id="rId9" Type="http://schemas.openxmlformats.org/officeDocument/2006/relationships/hyperlink" Target="https://qlda.gxd.vn/van-ban/chat-luong/nghi-dinh-06-2021-qlcl.html" TargetMode="External"/><Relationship Id="rId14" Type="http://schemas.openxmlformats.org/officeDocument/2006/relationships/hyperlink" Target="https://qlda.gxd.vn/van-ban/chi-phi/thong-tu-11-2021-TT-BXD.html" TargetMode="External"/><Relationship Id="rId22" Type="http://schemas.openxmlformats.org/officeDocument/2006/relationships/hyperlink" Target="https://qlda.gxd.vn/van-ban/chat-luong/nghi-dinh-06-2021-qlcl.html" TargetMode="External"/><Relationship Id="rId27" Type="http://schemas.openxmlformats.org/officeDocument/2006/relationships/drawing" Target="../drawings/drawing1.xml"/><Relationship Id="rId30" Type="http://schemas.openxmlformats.org/officeDocument/2006/relationships/ctrlProp" Target="../ctrlProps/ctrlProp2.xml"/><Relationship Id="rId35" Type="http://schemas.openxmlformats.org/officeDocument/2006/relationships/ctrlProp" Target="../ctrlProps/ctrlProp7.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qlda.gxd.vn/van-ban/chi-phi/thong-tu-13-2021-TT-BXD.html" TargetMode="External"/><Relationship Id="rId1" Type="http://schemas.openxmlformats.org/officeDocument/2006/relationships/hyperlink" Target="https://qlda.gxd.vn/van-ban/chi-phi/quyet-dinh-65-2021-qd-bxd.html"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dutoan.gxd.vn/van-ban/chi-phi/thong-tu-11-2021-TT-BXD.html" TargetMode="External"/><Relationship Id="rId13" Type="http://schemas.openxmlformats.org/officeDocument/2006/relationships/hyperlink" Target="https://dutoan.gxd.vn/van-ban/chi-phi/thong-tu-11-2021-TT-BXD.html" TargetMode="External"/><Relationship Id="rId18" Type="http://schemas.openxmlformats.org/officeDocument/2006/relationships/hyperlink" Target="https://qlda.gxd.vn/van-ban/chi-phi/thong-tu-13-2021-TT-BXD.html" TargetMode="External"/><Relationship Id="rId26" Type="http://schemas.openxmlformats.org/officeDocument/2006/relationships/hyperlink" Target="https://qlda.gxd.vn/dinh-muc/phu-luc-8-thong-tu-12-2021-TT-BXD.html" TargetMode="External"/><Relationship Id="rId39" Type="http://schemas.openxmlformats.org/officeDocument/2006/relationships/hyperlink" Target="https://qlda.gxd.vn/van-ban/chi-phi/thong-tu-27-2023-TT-BTC.html" TargetMode="External"/><Relationship Id="rId3" Type="http://schemas.openxmlformats.org/officeDocument/2006/relationships/hyperlink" Target="https://qlda.gxd.vn/van-ban/chi-phi/nghi-dinh-10-2021-qlcp.html" TargetMode="External"/><Relationship Id="rId21" Type="http://schemas.openxmlformats.org/officeDocument/2006/relationships/hyperlink" Target="https://qlda.gxd.vn/van-ban/chi-phi/thong-tu-11-2021-TT-BXD.html" TargetMode="External"/><Relationship Id="rId34" Type="http://schemas.openxmlformats.org/officeDocument/2006/relationships/hyperlink" Target="https://qlda.gxd.vn/van-ban/chi-phi/thong-tu-27-2023-TT-BTC.html" TargetMode="External"/><Relationship Id="rId42" Type="http://schemas.openxmlformats.org/officeDocument/2006/relationships/printerSettings" Target="../printerSettings/printerSettings7.bin"/><Relationship Id="rId7" Type="http://schemas.openxmlformats.org/officeDocument/2006/relationships/hyperlink" Target="https://qlda.gxd.vn/van-ban/chi-phi/nghi-dinh-10-2021-qlcp.html" TargetMode="External"/><Relationship Id="rId12" Type="http://schemas.openxmlformats.org/officeDocument/2006/relationships/hyperlink" Target="https://dutoan.gxd.vn/van-ban/chi-phi/thong-tu-11-2021-TT-BXD.html" TargetMode="External"/><Relationship Id="rId17" Type="http://schemas.openxmlformats.org/officeDocument/2006/relationships/hyperlink" Target="https://qlda.gxd.vn/van-ban/chi-phi/suat-von-dau-tu.html" TargetMode="External"/><Relationship Id="rId25" Type="http://schemas.openxmlformats.org/officeDocument/2006/relationships/hyperlink" Target="https://qlda.gxd.vn/dinh-muc/phu-luc-8-thong-tu-12-2021-TT-BXD.html" TargetMode="External"/><Relationship Id="rId33" Type="http://schemas.openxmlformats.org/officeDocument/2006/relationships/hyperlink" Target="https://qlda.gxd.vn/dinh-muc/phu-luc-8-thong-tu-12-2021-TT-BXD.html" TargetMode="External"/><Relationship Id="rId38" Type="http://schemas.openxmlformats.org/officeDocument/2006/relationships/hyperlink" Target="https://qlda.gxd.vn/van-ban/chi-phi/thong-tu-28-2023-TT-BTC.html" TargetMode="External"/><Relationship Id="rId2" Type="http://schemas.openxmlformats.org/officeDocument/2006/relationships/hyperlink" Target="https://qlda.gxd.vn/van-ban/chi-phi/nghi-dinh-10-2021-qlcp.html" TargetMode="External"/><Relationship Id="rId16" Type="http://schemas.openxmlformats.org/officeDocument/2006/relationships/hyperlink" Target="https://qlda.gxd.vn/dinh-muc/phu-luc-8-thong-tu-12-2021-TT-BXD.html" TargetMode="External"/><Relationship Id="rId20" Type="http://schemas.openxmlformats.org/officeDocument/2006/relationships/hyperlink" Target="https://qlda.gxd.vn/van-ban/chi-phi/thong-tu-11-2021-TT-BXD.html" TargetMode="External"/><Relationship Id="rId29" Type="http://schemas.openxmlformats.org/officeDocument/2006/relationships/hyperlink" Target="https://qlda.gxd.vn/dinh-muc/phu-luc-8-thong-tu-12-2021-TT-BXD.html" TargetMode="External"/><Relationship Id="rId41" Type="http://schemas.openxmlformats.org/officeDocument/2006/relationships/hyperlink" Target="https://qlda.gxd.vn/van-ban/hop-dong/nghi-dinh-99-2021.html" TargetMode="External"/><Relationship Id="rId1" Type="http://schemas.openxmlformats.org/officeDocument/2006/relationships/hyperlink" Target="https://qlda.gxd.vn/van-ban/chi-phi/nghi-dinh-10-2021-qlcp.html" TargetMode="External"/><Relationship Id="rId6" Type="http://schemas.openxmlformats.org/officeDocument/2006/relationships/hyperlink" Target="https://qlda.gxd.vn/van-ban/chi-phi/nghi-dinh-10-2021-qlcp.html" TargetMode="External"/><Relationship Id="rId11" Type="http://schemas.openxmlformats.org/officeDocument/2006/relationships/hyperlink" Target="https://dutoan.gxd.vn/van-ban/chi-phi/thong-tu-11-2021-TT-BXD.html" TargetMode="External"/><Relationship Id="rId24" Type="http://schemas.openxmlformats.org/officeDocument/2006/relationships/hyperlink" Target="https://qlda.gxd.vn/dinh-muc/phu-luc-8-thong-tu-12-2021-TT-BXD.html" TargetMode="External"/><Relationship Id="rId32" Type="http://schemas.openxmlformats.org/officeDocument/2006/relationships/hyperlink" Target="https://qlda.gxd.vn/dinh-muc/phu-luc-8-thong-tu-12-2021-TT-BXD.html" TargetMode="External"/><Relationship Id="rId37" Type="http://schemas.openxmlformats.org/officeDocument/2006/relationships/hyperlink" Target="https://qlda.gxd.vn/van-ban/chi-phi/thong-tu-258-2016-TT-BTC.html" TargetMode="External"/><Relationship Id="rId40" Type="http://schemas.openxmlformats.org/officeDocument/2006/relationships/hyperlink" Target="https://qlda.gxd.vn/van-ban/hop-dong/nghi-dinh-99-2021.html" TargetMode="External"/><Relationship Id="rId45" Type="http://schemas.openxmlformats.org/officeDocument/2006/relationships/comments" Target="../comments4.xml"/><Relationship Id="rId5" Type="http://schemas.openxmlformats.org/officeDocument/2006/relationships/hyperlink" Target="https://qlda.gxd.vn/van-ban/chi-phi/nghi-dinh-10-2021-qlcp.html" TargetMode="External"/><Relationship Id="rId15" Type="http://schemas.openxmlformats.org/officeDocument/2006/relationships/hyperlink" Target="https://qlda.gxd.vn/van-ban/chi-phi/thong-tu-11-2021-TT-BXD.html" TargetMode="External"/><Relationship Id="rId23" Type="http://schemas.openxmlformats.org/officeDocument/2006/relationships/hyperlink" Target="https://qlda.gxd.vn/dinh-muc/phu-luc-8-thong-tu-12-2021-TT-BXD.html" TargetMode="External"/><Relationship Id="rId28" Type="http://schemas.openxmlformats.org/officeDocument/2006/relationships/hyperlink" Target="https://qlda.gxd.vn/dinh-muc/phu-luc-8-thong-tu-12-2021-TT-BXD.html" TargetMode="External"/><Relationship Id="rId36" Type="http://schemas.openxmlformats.org/officeDocument/2006/relationships/hyperlink" Target="https://qlda.gxd.vn/van-ban/chat-luong/thong-tu-10-2021-TT-BXD.html" TargetMode="External"/><Relationship Id="rId10" Type="http://schemas.openxmlformats.org/officeDocument/2006/relationships/hyperlink" Target="https://dutoan.gxd.vn/van-ban/chi-phi/thong-tu-11-2021-TT-BXD.html" TargetMode="External"/><Relationship Id="rId19" Type="http://schemas.openxmlformats.org/officeDocument/2006/relationships/hyperlink" Target="https://qlda.gxd.vn/van-ban/chi-phi/thong-tu-11-2021-TT-BXD.html" TargetMode="External"/><Relationship Id="rId31" Type="http://schemas.openxmlformats.org/officeDocument/2006/relationships/hyperlink" Target="https://qlda.gxd.vn/dinh-muc/phu-luc-8-thong-tu-12-2021-TT-BXD.html" TargetMode="External"/><Relationship Id="rId44" Type="http://schemas.openxmlformats.org/officeDocument/2006/relationships/vmlDrawing" Target="../drawings/vmlDrawing4.vml"/><Relationship Id="rId4" Type="http://schemas.openxmlformats.org/officeDocument/2006/relationships/hyperlink" Target="https://qlda.gxd.vn/van-ban/chi-phi/nghi-dinh-10-2021-qlcp.html" TargetMode="External"/><Relationship Id="rId9" Type="http://schemas.openxmlformats.org/officeDocument/2006/relationships/hyperlink" Target="https://dutoan.gxd.vn/van-ban/chi-phi/thong-tu-11-2021-TT-BXD.html" TargetMode="External"/><Relationship Id="rId14" Type="http://schemas.openxmlformats.org/officeDocument/2006/relationships/hyperlink" Target="https://dutoan.gxd.vn/van-ban/chi-phi/thong-tu-11-2021-TT-BXD.html" TargetMode="External"/><Relationship Id="rId22" Type="http://schemas.openxmlformats.org/officeDocument/2006/relationships/hyperlink" Target="https://qlda.gxd.vn/van-ban/chi-phi/nghi-dinh-10-2021-qlcp.html" TargetMode="External"/><Relationship Id="rId27" Type="http://schemas.openxmlformats.org/officeDocument/2006/relationships/hyperlink" Target="https://qlda.gxd.vn/dinh-muc/phu-luc-8-thong-tu-12-2021-TT-BXD.html" TargetMode="External"/><Relationship Id="rId30" Type="http://schemas.openxmlformats.org/officeDocument/2006/relationships/hyperlink" Target="https://qlda.gxd.vn/dinh-muc/phu-luc-8-thong-tu-12-2021-TT-BXD.html" TargetMode="External"/><Relationship Id="rId35" Type="http://schemas.openxmlformats.org/officeDocument/2006/relationships/hyperlink" Target="https://qlda.gxd.vn/van-ban/bao-hiem/thong-tu-50-2022-TT-BTC.html" TargetMode="External"/><Relationship Id="rId43"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8" Type="http://schemas.openxmlformats.org/officeDocument/2006/relationships/hyperlink" Target="https://qlda.gxd.vn/dinh-muc/phu-luc-8-thong-tu-12-2021-TT-BXD.html" TargetMode="External"/><Relationship Id="rId13" Type="http://schemas.openxmlformats.org/officeDocument/2006/relationships/hyperlink" Target="https://qlda.gxd.vn/dinh-muc/phu-luc-8-thong-tu-12-2021-TT-BXD.html" TargetMode="External"/><Relationship Id="rId18" Type="http://schemas.openxmlformats.org/officeDocument/2006/relationships/hyperlink" Target="https://qlda.gxd.vn/dinh-muc/phu-luc-8-thong-tu-12-2021-TT-BXD.html" TargetMode="External"/><Relationship Id="rId26" Type="http://schemas.openxmlformats.org/officeDocument/2006/relationships/hyperlink" Target="https://qlda.gxd.vn/dinh-muc/phu-luc-8-thong-tu-12-2021-TT-BXD.html" TargetMode="External"/><Relationship Id="rId39" Type="http://schemas.openxmlformats.org/officeDocument/2006/relationships/vmlDrawing" Target="../drawings/vmlDrawing5.vml"/><Relationship Id="rId3" Type="http://schemas.openxmlformats.org/officeDocument/2006/relationships/hyperlink" Target="https://qlda.gxd.vn/dinh-muc/phu-luc-8-thong-tu-12-2021-TT-BXD.html" TargetMode="External"/><Relationship Id="rId21" Type="http://schemas.openxmlformats.org/officeDocument/2006/relationships/hyperlink" Target="https://qlda.gxd.vn/dinh-muc/phu-luc-8-thong-tu-12-2021-TT-BXD.html" TargetMode="External"/><Relationship Id="rId34" Type="http://schemas.openxmlformats.org/officeDocument/2006/relationships/hyperlink" Target="https://qlda.gxd.vn/van-ban/chi-phi/thong-tu-27-2023-TT-BTC.html" TargetMode="External"/><Relationship Id="rId7" Type="http://schemas.openxmlformats.org/officeDocument/2006/relationships/hyperlink" Target="https://qlda.gxd.vn/dinh-muc/phu-luc-8-thong-tu-12-2021-TT-BXD.html" TargetMode="External"/><Relationship Id="rId12" Type="http://schemas.openxmlformats.org/officeDocument/2006/relationships/hyperlink" Target="https://qlda.gxd.vn/dinh-muc/phu-luc-8-thong-tu-12-2021-TT-BXD.html" TargetMode="External"/><Relationship Id="rId17" Type="http://schemas.openxmlformats.org/officeDocument/2006/relationships/hyperlink" Target="https://qlda.gxd.vn/dinh-muc/phu-luc-8-thong-tu-12-2021-TT-BXD.html" TargetMode="External"/><Relationship Id="rId25" Type="http://schemas.openxmlformats.org/officeDocument/2006/relationships/hyperlink" Target="https://qlda.gxd.vn/dinh-muc/phu-luc-8-thong-tu-12-2021-TT-BXD.html" TargetMode="External"/><Relationship Id="rId33" Type="http://schemas.openxmlformats.org/officeDocument/2006/relationships/hyperlink" Target="https://qlda.gxd.vn/van-ban/chi-phi/thong-tu-28-2023-TT-BTC.html" TargetMode="External"/><Relationship Id="rId38" Type="http://schemas.openxmlformats.org/officeDocument/2006/relationships/drawing" Target="../drawings/drawing4.xml"/><Relationship Id="rId2" Type="http://schemas.openxmlformats.org/officeDocument/2006/relationships/hyperlink" Target="https://qlda.gxd.vn/dinh-muc/phu-luc-8-thong-tu-12-2021-TT-BXD.html" TargetMode="External"/><Relationship Id="rId16" Type="http://schemas.openxmlformats.org/officeDocument/2006/relationships/hyperlink" Target="https://qlda.gxd.vn/dinh-muc/phu-luc-8-thong-tu-12-2021-TT-BXD.html" TargetMode="External"/><Relationship Id="rId20" Type="http://schemas.openxmlformats.org/officeDocument/2006/relationships/hyperlink" Target="https://qlda.gxd.vn/dinh-muc/phu-luc-8-thong-tu-12-2021-TT-BXD.html" TargetMode="External"/><Relationship Id="rId29" Type="http://schemas.openxmlformats.org/officeDocument/2006/relationships/hyperlink" Target="https://qlda.gxd.vn/dinh-muc/phu-luc-8-thong-tu-12-2021-TT-BXD.html" TargetMode="External"/><Relationship Id="rId1" Type="http://schemas.openxmlformats.org/officeDocument/2006/relationships/hyperlink" Target="https://qlda.gxd.vn/dinh-muc/phu-luc-8-thong-tu-12-2021-TT-BXD.html" TargetMode="External"/><Relationship Id="rId6" Type="http://schemas.openxmlformats.org/officeDocument/2006/relationships/hyperlink" Target="https://qlda.gxd.vn/dinh-muc/phu-luc-8-thong-tu-12-2021-TT-BXD.html" TargetMode="External"/><Relationship Id="rId11" Type="http://schemas.openxmlformats.org/officeDocument/2006/relationships/hyperlink" Target="https://qlda.gxd.vn/dinh-muc/phu-luc-8-thong-tu-12-2021-TT-BXD.html" TargetMode="External"/><Relationship Id="rId24" Type="http://schemas.openxmlformats.org/officeDocument/2006/relationships/hyperlink" Target="https://qlda.gxd.vn/dinh-muc/phu-luc-8-thong-tu-12-2021-TT-BXD.html" TargetMode="External"/><Relationship Id="rId32" Type="http://schemas.openxmlformats.org/officeDocument/2006/relationships/hyperlink" Target="https://qlda.gxd.vn/van-ban/hop-dong/nghi-dinh-99-2021.html" TargetMode="External"/><Relationship Id="rId37" Type="http://schemas.openxmlformats.org/officeDocument/2006/relationships/printerSettings" Target="../printerSettings/printerSettings8.bin"/><Relationship Id="rId40" Type="http://schemas.openxmlformats.org/officeDocument/2006/relationships/comments" Target="../comments5.xml"/><Relationship Id="rId5" Type="http://schemas.openxmlformats.org/officeDocument/2006/relationships/hyperlink" Target="https://qlda.gxd.vn/dinh-muc/phu-luc-8-thong-tu-12-2021-TT-BXD.html" TargetMode="External"/><Relationship Id="rId15" Type="http://schemas.openxmlformats.org/officeDocument/2006/relationships/hyperlink" Target="https://qlda.gxd.vn/dinh-muc/phu-luc-8-thong-tu-12-2021-TT-BXD.html" TargetMode="External"/><Relationship Id="rId23" Type="http://schemas.openxmlformats.org/officeDocument/2006/relationships/hyperlink" Target="https://qlda.gxd.vn/dinh-muc/phu-luc-8-thong-tu-12-2021-TT-BXD.html" TargetMode="External"/><Relationship Id="rId28" Type="http://schemas.openxmlformats.org/officeDocument/2006/relationships/hyperlink" Target="https://qlda.gxd.vn/dinh-muc/phu-luc-8-thong-tu-12-2021-TT-BXD.html" TargetMode="External"/><Relationship Id="rId36" Type="http://schemas.openxmlformats.org/officeDocument/2006/relationships/hyperlink" Target="https://dutoan.gxd.vn/van-ban/chi-phi/thong-tu-258-2016-TT-BTC.html" TargetMode="External"/><Relationship Id="rId10" Type="http://schemas.openxmlformats.org/officeDocument/2006/relationships/hyperlink" Target="https://qlda.gxd.vn/dinh-muc/phu-luc-8-thong-tu-12-2021-TT-BXD.html" TargetMode="External"/><Relationship Id="rId19" Type="http://schemas.openxmlformats.org/officeDocument/2006/relationships/hyperlink" Target="https://qlda.gxd.vn/dinh-muc/phu-luc-8-thong-tu-12-2021-TT-BXD.html" TargetMode="External"/><Relationship Id="rId31" Type="http://schemas.openxmlformats.org/officeDocument/2006/relationships/hyperlink" Target="https://qlda.gxd.vn/van-ban/hop-dong/nghi-dinh-99-2021.html" TargetMode="External"/><Relationship Id="rId4" Type="http://schemas.openxmlformats.org/officeDocument/2006/relationships/hyperlink" Target="https://qlda.gxd.vn/dinh-muc/phu-luc-8-thong-tu-12-2021-TT-BXD.html" TargetMode="External"/><Relationship Id="rId9" Type="http://schemas.openxmlformats.org/officeDocument/2006/relationships/hyperlink" Target="https://qlda.gxd.vn/dinh-muc/phu-luc-8-thong-tu-12-2021-TT-BXD.html" TargetMode="External"/><Relationship Id="rId14" Type="http://schemas.openxmlformats.org/officeDocument/2006/relationships/hyperlink" Target="https://qlda.gxd.vn/dinh-muc/phu-luc-8-thong-tu-12-2021-TT-BXD.html" TargetMode="External"/><Relationship Id="rId22" Type="http://schemas.openxmlformats.org/officeDocument/2006/relationships/hyperlink" Target="https://qlda.gxd.vn/dinh-muc/phu-luc-8-thong-tu-12-2021-TT-BXD.html" TargetMode="External"/><Relationship Id="rId27" Type="http://schemas.openxmlformats.org/officeDocument/2006/relationships/hyperlink" Target="https://qlda.gxd.vn/dinh-muc/phu-luc-8-thong-tu-12-2021-TT-BXD.html" TargetMode="External"/><Relationship Id="rId30" Type="http://schemas.openxmlformats.org/officeDocument/2006/relationships/hyperlink" Target="https://qlda.gxd.vn/dinh-muc/phu-luc-8-thong-tu-12-2021-TT-BXD.html" TargetMode="External"/><Relationship Id="rId35" Type="http://schemas.openxmlformats.org/officeDocument/2006/relationships/hyperlink" Target="https://qlda.gxd.vn/van-ban/chi-phi/thong-tu-27-2023-TT-BTC.html"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hyperlink" Target="https://dutoan.gxd.vn/van-ban/chi-phi/thong-tu-11-2021-TT-BXD.html" TargetMode="External"/><Relationship Id="rId7" Type="http://schemas.openxmlformats.org/officeDocument/2006/relationships/comments" Target="../comments6.xml"/><Relationship Id="rId2" Type="http://schemas.openxmlformats.org/officeDocument/2006/relationships/hyperlink" Target="https://dutoan.gxd.vn/dinh-muc/thong-tu-12-2021-TT-BXD.html" TargetMode="External"/><Relationship Id="rId1" Type="http://schemas.openxmlformats.org/officeDocument/2006/relationships/hyperlink" Target="https://dutoan.gxd.vn/van-ban/chi-phi/nghi-dinh-10-2021.html" TargetMode="External"/><Relationship Id="rId6" Type="http://schemas.openxmlformats.org/officeDocument/2006/relationships/vmlDrawing" Target="../drawings/vmlDrawing6.vml"/><Relationship Id="rId5" Type="http://schemas.openxmlformats.org/officeDocument/2006/relationships/printerSettings" Target="../printerSettings/printerSettings11.bin"/><Relationship Id="rId4" Type="http://schemas.openxmlformats.org/officeDocument/2006/relationships/hyperlink" Target="https://dutoan.gxd.vn/van-ban/chi-phi/thong-tu-13-2021-TT-BXD.html" TargetMode="Externa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5.xml.rels><?xml version="1.0" encoding="UTF-8" standalone="yes"?>
<Relationships xmlns="http://schemas.openxmlformats.org/package/2006/relationships"><Relationship Id="rId8" Type="http://schemas.openxmlformats.org/officeDocument/2006/relationships/vmlDrawing" Target="../drawings/vmlDrawing9.vml"/><Relationship Id="rId3" Type="http://schemas.openxmlformats.org/officeDocument/2006/relationships/hyperlink" Target="https://dutoan.gxd.vn/van-ban/chi-phi/thong-tu-11-2021-TT-BXD.html" TargetMode="External"/><Relationship Id="rId7" Type="http://schemas.openxmlformats.org/officeDocument/2006/relationships/printerSettings" Target="../printerSettings/printerSettings14.bin"/><Relationship Id="rId2" Type="http://schemas.openxmlformats.org/officeDocument/2006/relationships/hyperlink" Target="https://dutoan.gxd.vn/van-ban/chi-phi/thong-tu-11-2021-TT-BXD.html" TargetMode="External"/><Relationship Id="rId1" Type="http://schemas.openxmlformats.org/officeDocument/2006/relationships/hyperlink" Target="https://dutoan.gxd.vn/van-ban/chi-phi/thong-tu-11-2021-TT-BXD.html" TargetMode="External"/><Relationship Id="rId6" Type="http://schemas.openxmlformats.org/officeDocument/2006/relationships/hyperlink" Target="https://dutoan.gxd.vn/van-ban/chi-phi/thong-tu-11-2021-TT-BXD.html" TargetMode="External"/><Relationship Id="rId5" Type="http://schemas.openxmlformats.org/officeDocument/2006/relationships/hyperlink" Target="https://dutoan.gxd.vn/van-ban/chi-phi/thong-tu-11-2021-TT-BXD.html" TargetMode="External"/><Relationship Id="rId4" Type="http://schemas.openxmlformats.org/officeDocument/2006/relationships/hyperlink" Target="https://dutoan.gxd.vn/van-ban/chi-phi/thong-tu-11-2021-TT-BXD.html" TargetMode="External"/><Relationship Id="rId9" Type="http://schemas.openxmlformats.org/officeDocument/2006/relationships/comments" Target="../comments9.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7.xml"/><Relationship Id="rId1" Type="http://schemas.openxmlformats.org/officeDocument/2006/relationships/printerSettings" Target="../printerSettings/printerSettings16.bin"/><Relationship Id="rId5" Type="http://schemas.openxmlformats.org/officeDocument/2006/relationships/comments" Target="../comments11.xml"/><Relationship Id="rId4" Type="http://schemas.openxmlformats.org/officeDocument/2006/relationships/ctrlProp" Target="../ctrlProps/ctrlProp8.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3.bin"/><Relationship Id="rId1" Type="http://schemas.openxmlformats.org/officeDocument/2006/relationships/hyperlink" Target="https://dutoan.gxd.vn/van-ban/chi-phi/thong-tu-11-2021-TT-BXD.html" TargetMode="External"/><Relationship Id="rId5" Type="http://schemas.openxmlformats.org/officeDocument/2006/relationships/comments" Target="../comments18.xml"/><Relationship Id="rId4" Type="http://schemas.openxmlformats.org/officeDocument/2006/relationships/vmlDrawing" Target="../drawings/vmlDrawing18.vml"/></Relationships>
</file>

<file path=xl/worksheets/_rels/sheet25.xml.rels><?xml version="1.0" encoding="UTF-8" standalone="yes"?>
<Relationships xmlns="http://schemas.openxmlformats.org/package/2006/relationships"><Relationship Id="rId13" Type="http://schemas.openxmlformats.org/officeDocument/2006/relationships/hyperlink" Target="https://dutoan.gxd.vn/van-ban/chi-phi/thong-tu-11-2021-TT-BXD.html" TargetMode="External"/><Relationship Id="rId18" Type="http://schemas.openxmlformats.org/officeDocument/2006/relationships/hyperlink" Target="https://dutoan.gxd.vn/van-ban/chi-phi/thong-tu-11-2021-TT-BXD.html" TargetMode="External"/><Relationship Id="rId26" Type="http://schemas.openxmlformats.org/officeDocument/2006/relationships/hyperlink" Target="https://dutoan.gxd.vn/van-ban/chi-phi/thong-tu-11-2021-TT-BXD.html" TargetMode="External"/><Relationship Id="rId39" Type="http://schemas.openxmlformats.org/officeDocument/2006/relationships/hyperlink" Target="https://dutoan.gxd.vn/van-ban/chi-phi/thong-tu-11-2021-TT-BXD.html" TargetMode="External"/><Relationship Id="rId21" Type="http://schemas.openxmlformats.org/officeDocument/2006/relationships/hyperlink" Target="https://dutoan.gxd.vn/van-ban/chi-phi/thong-tu-11-2021-TT-BXD.html" TargetMode="External"/><Relationship Id="rId34" Type="http://schemas.openxmlformats.org/officeDocument/2006/relationships/hyperlink" Target="https://dutoan.gxd.vn/van-ban/chi-phi/thong-tu-11-2021-TT-BXD.html" TargetMode="External"/><Relationship Id="rId42" Type="http://schemas.openxmlformats.org/officeDocument/2006/relationships/hyperlink" Target="https://dutoan.gxd.vn/van-ban/chi-phi/thong-tu-11-2021-TT-BXD.html" TargetMode="External"/><Relationship Id="rId47" Type="http://schemas.openxmlformats.org/officeDocument/2006/relationships/hyperlink" Target="https://dutoan.gxd.vn/van-ban/chi-phi/thong-tu-11-2021-TT-BXD.html" TargetMode="External"/><Relationship Id="rId50" Type="http://schemas.openxmlformats.org/officeDocument/2006/relationships/hyperlink" Target="https://dutoan.gxd.vn/van-ban/chi-phi/thong-tu-11-2021-TT-BXD.html" TargetMode="External"/><Relationship Id="rId55" Type="http://schemas.openxmlformats.org/officeDocument/2006/relationships/hyperlink" Target="https://dutoan.gxd.vn/van-ban/chi-phi/thong-tu-11-2021-TT-BXD.html" TargetMode="External"/><Relationship Id="rId63" Type="http://schemas.openxmlformats.org/officeDocument/2006/relationships/hyperlink" Target="https://dutoan.gxd.vn/van-ban/chi-phi/thong-tu-11-2021-TT-BXD.html" TargetMode="External"/><Relationship Id="rId68" Type="http://schemas.openxmlformats.org/officeDocument/2006/relationships/hyperlink" Target="https://dutoan.gxd.vn/van-ban/chi-phi/thong-tu-11-2021-TT-BXD.html" TargetMode="External"/><Relationship Id="rId76" Type="http://schemas.openxmlformats.org/officeDocument/2006/relationships/hyperlink" Target="https://dutoan.gxd.vn/van-ban/chi-phi/thong-tu-11-2021-TT-BXD.html" TargetMode="External"/><Relationship Id="rId84" Type="http://schemas.openxmlformats.org/officeDocument/2006/relationships/comments" Target="../comments19.xml"/><Relationship Id="rId7" Type="http://schemas.openxmlformats.org/officeDocument/2006/relationships/hyperlink" Target="https://dutoan.gxd.vn/van-ban/chi-phi/thong-tu-11-2021-TT-BXD.html" TargetMode="External"/><Relationship Id="rId71" Type="http://schemas.openxmlformats.org/officeDocument/2006/relationships/hyperlink" Target="https://dutoan.gxd.vn/van-ban/chi-phi/thong-tu-11-2021-TT-BXD.html" TargetMode="External"/><Relationship Id="rId2" Type="http://schemas.openxmlformats.org/officeDocument/2006/relationships/hyperlink" Target="https://dutoan.gxd.vn/van-ban/chi-phi/thong-tu-11-2021-TT-BXD.html" TargetMode="External"/><Relationship Id="rId16" Type="http://schemas.openxmlformats.org/officeDocument/2006/relationships/hyperlink" Target="https://dutoan.gxd.vn/van-ban/chi-phi/thong-tu-11-2021-TT-BXD.html" TargetMode="External"/><Relationship Id="rId29" Type="http://schemas.openxmlformats.org/officeDocument/2006/relationships/hyperlink" Target="https://dutoan.gxd.vn/van-ban/chi-phi/thong-tu-11-2021-TT-BXD.html" TargetMode="External"/><Relationship Id="rId11" Type="http://schemas.openxmlformats.org/officeDocument/2006/relationships/hyperlink" Target="https://dutoan.gxd.vn/van-ban/chi-phi/thong-tu-11-2021-TT-BXD.html" TargetMode="External"/><Relationship Id="rId24" Type="http://schemas.openxmlformats.org/officeDocument/2006/relationships/hyperlink" Target="https://dutoan.gxd.vn/van-ban/chi-phi/thong-tu-11-2021-TT-BXD.html" TargetMode="External"/><Relationship Id="rId32" Type="http://schemas.openxmlformats.org/officeDocument/2006/relationships/hyperlink" Target="https://dutoan.gxd.vn/van-ban/chi-phi/thong-tu-11-2021-TT-BXD.html" TargetMode="External"/><Relationship Id="rId37" Type="http://schemas.openxmlformats.org/officeDocument/2006/relationships/hyperlink" Target="https://dutoan.gxd.vn/van-ban/chi-phi/thong-tu-11-2021-TT-BXD.html" TargetMode="External"/><Relationship Id="rId40" Type="http://schemas.openxmlformats.org/officeDocument/2006/relationships/hyperlink" Target="https://dutoan.gxd.vn/van-ban/chi-phi/thong-tu-11-2021-TT-BXD.html" TargetMode="External"/><Relationship Id="rId45" Type="http://schemas.openxmlformats.org/officeDocument/2006/relationships/hyperlink" Target="https://dutoan.gxd.vn/van-ban/chi-phi/thong-tu-11-2021-TT-BXD.html" TargetMode="External"/><Relationship Id="rId53" Type="http://schemas.openxmlformats.org/officeDocument/2006/relationships/hyperlink" Target="https://dutoan.gxd.vn/van-ban/chi-phi/thong-tu-11-2021-TT-BXD.html" TargetMode="External"/><Relationship Id="rId58" Type="http://schemas.openxmlformats.org/officeDocument/2006/relationships/hyperlink" Target="https://dutoan.gxd.vn/van-ban/chi-phi/thong-tu-11-2021-TT-BXD.html" TargetMode="External"/><Relationship Id="rId66" Type="http://schemas.openxmlformats.org/officeDocument/2006/relationships/hyperlink" Target="https://dutoan.gxd.vn/van-ban/chi-phi/thong-tu-11-2021-TT-BXD.html" TargetMode="External"/><Relationship Id="rId74" Type="http://schemas.openxmlformats.org/officeDocument/2006/relationships/hyperlink" Target="https://dutoan.gxd.vn/van-ban/chi-phi/thong-tu-11-2021-TT-BXD.html" TargetMode="External"/><Relationship Id="rId79" Type="http://schemas.openxmlformats.org/officeDocument/2006/relationships/hyperlink" Target="https://dutoan.gxd.vn/van-ban/chi-phi/thong-tu-11-2021-TT-BXD.html" TargetMode="External"/><Relationship Id="rId5" Type="http://schemas.openxmlformats.org/officeDocument/2006/relationships/hyperlink" Target="https://dutoan.gxd.vn/van-ban/chi-phi/thong-tu-11-2021-TT-BXD.html" TargetMode="External"/><Relationship Id="rId61" Type="http://schemas.openxmlformats.org/officeDocument/2006/relationships/hyperlink" Target="https://dutoan.gxd.vn/van-ban/chi-phi/thong-tu-11-2021-TT-BXD.html" TargetMode="External"/><Relationship Id="rId82" Type="http://schemas.openxmlformats.org/officeDocument/2006/relationships/printerSettings" Target="../printerSettings/printerSettings24.bin"/><Relationship Id="rId10" Type="http://schemas.openxmlformats.org/officeDocument/2006/relationships/hyperlink" Target="https://dutoan.gxd.vn/van-ban/chi-phi/thong-tu-11-2021-TT-BXD.html" TargetMode="External"/><Relationship Id="rId19" Type="http://schemas.openxmlformats.org/officeDocument/2006/relationships/hyperlink" Target="https://dutoan.gxd.vn/van-ban/chi-phi/thong-tu-11-2021-TT-BXD.html" TargetMode="External"/><Relationship Id="rId31" Type="http://schemas.openxmlformats.org/officeDocument/2006/relationships/hyperlink" Target="https://dutoan.gxd.vn/van-ban/chi-phi/thong-tu-11-2021-TT-BXD.html" TargetMode="External"/><Relationship Id="rId44" Type="http://schemas.openxmlformats.org/officeDocument/2006/relationships/hyperlink" Target="https://dutoan.gxd.vn/van-ban/chi-phi/thong-tu-11-2021-TT-BXD.html" TargetMode="External"/><Relationship Id="rId52" Type="http://schemas.openxmlformats.org/officeDocument/2006/relationships/hyperlink" Target="https://dutoan.gxd.vn/van-ban/chi-phi/thong-tu-11-2021-TT-BXD.html" TargetMode="External"/><Relationship Id="rId60" Type="http://schemas.openxmlformats.org/officeDocument/2006/relationships/hyperlink" Target="https://dutoan.gxd.vn/van-ban/chi-phi/thong-tu-11-2021-TT-BXD.html" TargetMode="External"/><Relationship Id="rId65" Type="http://schemas.openxmlformats.org/officeDocument/2006/relationships/hyperlink" Target="https://dutoan.gxd.vn/van-ban/chi-phi/thong-tu-11-2021-TT-BXD.html" TargetMode="External"/><Relationship Id="rId73" Type="http://schemas.openxmlformats.org/officeDocument/2006/relationships/hyperlink" Target="https://dutoan.gxd.vn/van-ban/chi-phi/thong-tu-11-2021-TT-BXD.html" TargetMode="External"/><Relationship Id="rId78" Type="http://schemas.openxmlformats.org/officeDocument/2006/relationships/hyperlink" Target="https://dutoan.gxd.vn/van-ban/chi-phi/thong-tu-11-2021-TT-BXD.html" TargetMode="External"/><Relationship Id="rId81" Type="http://schemas.openxmlformats.org/officeDocument/2006/relationships/hyperlink" Target="https://dutoan.gxd.vn/van-ban/chi-phi/thong-tu-11-2021-TT-BXD.html" TargetMode="External"/><Relationship Id="rId4" Type="http://schemas.openxmlformats.org/officeDocument/2006/relationships/hyperlink" Target="https://dutoan.gxd.vn/van-ban/chi-phi/thong-tu-11-2021-TT-BXD.html" TargetMode="External"/><Relationship Id="rId9" Type="http://schemas.openxmlformats.org/officeDocument/2006/relationships/hyperlink" Target="https://dutoan.gxd.vn/van-ban/chi-phi/thong-tu-11-2021-TT-BXD.html" TargetMode="External"/><Relationship Id="rId14" Type="http://schemas.openxmlformats.org/officeDocument/2006/relationships/hyperlink" Target="https://dutoan.gxd.vn/van-ban/chi-phi/thong-tu-11-2021-TT-BXD.html" TargetMode="External"/><Relationship Id="rId22" Type="http://schemas.openxmlformats.org/officeDocument/2006/relationships/hyperlink" Target="https://dutoan.gxd.vn/van-ban/chi-phi/thong-tu-11-2021-TT-BXD.html" TargetMode="External"/><Relationship Id="rId27" Type="http://schemas.openxmlformats.org/officeDocument/2006/relationships/hyperlink" Target="https://dutoan.gxd.vn/van-ban/chi-phi/thong-tu-11-2021-TT-BXD.html" TargetMode="External"/><Relationship Id="rId30" Type="http://schemas.openxmlformats.org/officeDocument/2006/relationships/hyperlink" Target="https://dutoan.gxd.vn/van-ban/chi-phi/thong-tu-11-2021-TT-BXD.html" TargetMode="External"/><Relationship Id="rId35" Type="http://schemas.openxmlformats.org/officeDocument/2006/relationships/hyperlink" Target="https://dutoan.gxd.vn/van-ban/chi-phi/thong-tu-11-2021-TT-BXD.html" TargetMode="External"/><Relationship Id="rId43" Type="http://schemas.openxmlformats.org/officeDocument/2006/relationships/hyperlink" Target="https://dutoan.gxd.vn/van-ban/chi-phi/thong-tu-11-2021-TT-BXD.html" TargetMode="External"/><Relationship Id="rId48" Type="http://schemas.openxmlformats.org/officeDocument/2006/relationships/hyperlink" Target="https://dutoan.gxd.vn/van-ban/chi-phi/thong-tu-11-2021-TT-BXD.html" TargetMode="External"/><Relationship Id="rId56" Type="http://schemas.openxmlformats.org/officeDocument/2006/relationships/hyperlink" Target="https://dutoan.gxd.vn/van-ban/chi-phi/thong-tu-11-2021-TT-BXD.html" TargetMode="External"/><Relationship Id="rId64" Type="http://schemas.openxmlformats.org/officeDocument/2006/relationships/hyperlink" Target="https://dutoan.gxd.vn/van-ban/chi-phi/thong-tu-11-2021-TT-BXD.html" TargetMode="External"/><Relationship Id="rId69" Type="http://schemas.openxmlformats.org/officeDocument/2006/relationships/hyperlink" Target="https://dutoan.gxd.vn/van-ban/chi-phi/thong-tu-11-2021-TT-BXD.html" TargetMode="External"/><Relationship Id="rId77" Type="http://schemas.openxmlformats.org/officeDocument/2006/relationships/hyperlink" Target="https://dutoan.gxd.vn/van-ban/chi-phi/thong-tu-11-2021-TT-BXD.html" TargetMode="External"/><Relationship Id="rId8" Type="http://schemas.openxmlformats.org/officeDocument/2006/relationships/hyperlink" Target="https://dutoan.gxd.vn/van-ban/chi-phi/thong-tu-11-2021-TT-BXD.html" TargetMode="External"/><Relationship Id="rId51" Type="http://schemas.openxmlformats.org/officeDocument/2006/relationships/hyperlink" Target="https://dutoan.gxd.vn/van-ban/chi-phi/thong-tu-11-2021-TT-BXD.html" TargetMode="External"/><Relationship Id="rId72" Type="http://schemas.openxmlformats.org/officeDocument/2006/relationships/hyperlink" Target="https://dutoan.gxd.vn/van-ban/chi-phi/thong-tu-11-2021-TT-BXD.html" TargetMode="External"/><Relationship Id="rId80" Type="http://schemas.openxmlformats.org/officeDocument/2006/relationships/hyperlink" Target="https://dutoan.gxd.vn/van-ban/chi-phi/thong-tu-11-2021-TT-BXD.html" TargetMode="External"/><Relationship Id="rId3" Type="http://schemas.openxmlformats.org/officeDocument/2006/relationships/hyperlink" Target="https://dutoan.gxd.vn/van-ban/chi-phi/thong-tu-11-2021-TT-BXD.html" TargetMode="External"/><Relationship Id="rId12" Type="http://schemas.openxmlformats.org/officeDocument/2006/relationships/hyperlink" Target="https://dutoan.gxd.vn/van-ban/chi-phi/thong-tu-11-2021-TT-BXD.html" TargetMode="External"/><Relationship Id="rId17" Type="http://schemas.openxmlformats.org/officeDocument/2006/relationships/hyperlink" Target="https://dutoan.gxd.vn/van-ban/chi-phi/thong-tu-11-2021-TT-BXD.html" TargetMode="External"/><Relationship Id="rId25" Type="http://schemas.openxmlformats.org/officeDocument/2006/relationships/hyperlink" Target="https://dutoan.gxd.vn/van-ban/chi-phi/thong-tu-11-2021-TT-BXD.html" TargetMode="External"/><Relationship Id="rId33" Type="http://schemas.openxmlformats.org/officeDocument/2006/relationships/hyperlink" Target="https://dutoan.gxd.vn/van-ban/chi-phi/thong-tu-11-2021-TT-BXD.html" TargetMode="External"/><Relationship Id="rId38" Type="http://schemas.openxmlformats.org/officeDocument/2006/relationships/hyperlink" Target="https://dutoan.gxd.vn/van-ban/chi-phi/thong-tu-11-2021-TT-BXD.html" TargetMode="External"/><Relationship Id="rId46" Type="http://schemas.openxmlformats.org/officeDocument/2006/relationships/hyperlink" Target="https://dutoan.gxd.vn/van-ban/chi-phi/thong-tu-11-2021-TT-BXD.html" TargetMode="External"/><Relationship Id="rId59" Type="http://schemas.openxmlformats.org/officeDocument/2006/relationships/hyperlink" Target="https://dutoan.gxd.vn/van-ban/chi-phi/thong-tu-11-2021-TT-BXD.html" TargetMode="External"/><Relationship Id="rId67" Type="http://schemas.openxmlformats.org/officeDocument/2006/relationships/hyperlink" Target="https://dutoan.gxd.vn/van-ban/chi-phi/thong-tu-11-2021-TT-BXD.html" TargetMode="External"/><Relationship Id="rId20" Type="http://schemas.openxmlformats.org/officeDocument/2006/relationships/hyperlink" Target="https://dutoan.gxd.vn/van-ban/chi-phi/thong-tu-11-2021-TT-BXD.html" TargetMode="External"/><Relationship Id="rId41" Type="http://schemas.openxmlformats.org/officeDocument/2006/relationships/hyperlink" Target="https://dutoan.gxd.vn/van-ban/chi-phi/thong-tu-11-2021-TT-BXD.html" TargetMode="External"/><Relationship Id="rId54" Type="http://schemas.openxmlformats.org/officeDocument/2006/relationships/hyperlink" Target="https://dutoan.gxd.vn/van-ban/chi-phi/thong-tu-11-2021-TT-BXD.html" TargetMode="External"/><Relationship Id="rId62" Type="http://schemas.openxmlformats.org/officeDocument/2006/relationships/hyperlink" Target="https://dutoan.gxd.vn/van-ban/chi-phi/thong-tu-11-2021-TT-BXD.html" TargetMode="External"/><Relationship Id="rId70" Type="http://schemas.openxmlformats.org/officeDocument/2006/relationships/hyperlink" Target="https://dutoan.gxd.vn/van-ban/chi-phi/thong-tu-11-2021-TT-BXD.html" TargetMode="External"/><Relationship Id="rId75" Type="http://schemas.openxmlformats.org/officeDocument/2006/relationships/hyperlink" Target="https://dutoan.gxd.vn/van-ban/chi-phi/thong-tu-11-2021-TT-BXD.html" TargetMode="External"/><Relationship Id="rId83" Type="http://schemas.openxmlformats.org/officeDocument/2006/relationships/vmlDrawing" Target="../drawings/vmlDrawing19.vml"/><Relationship Id="rId1" Type="http://schemas.openxmlformats.org/officeDocument/2006/relationships/hyperlink" Target="https://qlda.gxd.vn/van-ban/qlda/nghi-dinh-15-2021-qlda.html" TargetMode="External"/><Relationship Id="rId6" Type="http://schemas.openxmlformats.org/officeDocument/2006/relationships/hyperlink" Target="https://dutoan.gxd.vn/van-ban/chi-phi/thong-tu-11-2021-TT-BXD.html" TargetMode="External"/><Relationship Id="rId15" Type="http://schemas.openxmlformats.org/officeDocument/2006/relationships/hyperlink" Target="https://dutoan.gxd.vn/van-ban/chi-phi/thong-tu-11-2021-TT-BXD.html" TargetMode="External"/><Relationship Id="rId23" Type="http://schemas.openxmlformats.org/officeDocument/2006/relationships/hyperlink" Target="https://dutoan.gxd.vn/van-ban/chi-phi/thong-tu-11-2021-TT-BXD.html" TargetMode="External"/><Relationship Id="rId28" Type="http://schemas.openxmlformats.org/officeDocument/2006/relationships/hyperlink" Target="https://dutoan.gxd.vn/van-ban/chi-phi/thong-tu-11-2021-TT-BXD.html" TargetMode="External"/><Relationship Id="rId36" Type="http://schemas.openxmlformats.org/officeDocument/2006/relationships/hyperlink" Target="https://dutoan.gxd.vn/van-ban/chi-phi/thong-tu-11-2021-TT-BXD.html" TargetMode="External"/><Relationship Id="rId49" Type="http://schemas.openxmlformats.org/officeDocument/2006/relationships/hyperlink" Target="https://dutoan.gxd.vn/van-ban/chi-phi/thong-tu-11-2021-TT-BXD.html" TargetMode="External"/><Relationship Id="rId57" Type="http://schemas.openxmlformats.org/officeDocument/2006/relationships/hyperlink" Target="https://dutoan.gxd.vn/van-ban/chi-phi/thong-tu-11-2021-TT-BXD.html" TargetMode="Externa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9.xml"/><Relationship Id="rId1" Type="http://schemas.openxmlformats.org/officeDocument/2006/relationships/printerSettings" Target="../printerSettings/printerSettings25.bin"/><Relationship Id="rId5" Type="http://schemas.openxmlformats.org/officeDocument/2006/relationships/comments" Target="../comments20.xml"/><Relationship Id="rId4" Type="http://schemas.openxmlformats.org/officeDocument/2006/relationships/ctrlProp" Target="../ctrlProps/ctrlProp9.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printerSettings" Target="../printerSettings/printerSettings27.bin"/><Relationship Id="rId1" Type="http://schemas.openxmlformats.org/officeDocument/2006/relationships/hyperlink" Target="https://dutoan.gxd.vn/van-ban/chi-phi/thong-tu-11-2021-TT-BXD.html" TargetMode="External"/><Relationship Id="rId4" Type="http://schemas.openxmlformats.org/officeDocument/2006/relationships/comments" Target="../comments22.xml"/></Relationships>
</file>

<file path=xl/worksheets/_rels/sheet29.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2" Type="http://schemas.openxmlformats.org/officeDocument/2006/relationships/comments" Target="../comments33.xml"/><Relationship Id="rId1" Type="http://schemas.openxmlformats.org/officeDocument/2006/relationships/vmlDrawing" Target="../drawings/vmlDrawing33.vml"/></Relationships>
</file>

<file path=xl/worksheets/_rels/sheet43.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34.vml"/><Relationship Id="rId1" Type="http://schemas.openxmlformats.org/officeDocument/2006/relationships/printerSettings" Target="../printerSettings/printerSettings40.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35.xml"/><Relationship Id="rId2" Type="http://schemas.openxmlformats.org/officeDocument/2006/relationships/vmlDrawing" Target="../drawings/vmlDrawing35.vml"/><Relationship Id="rId1" Type="http://schemas.openxmlformats.org/officeDocument/2006/relationships/printerSettings" Target="../printerSettings/printerSettings45.bin"/></Relationships>
</file>

<file path=xl/worksheets/_rels/sheet49.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6.vml"/><Relationship Id="rId1" Type="http://schemas.openxmlformats.org/officeDocument/2006/relationships/printerSettings" Target="../printerSettings/printerSettings46.bin"/></Relationships>
</file>

<file path=xl/worksheets/_rels/sheet50.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7.vml"/><Relationship Id="rId1" Type="http://schemas.openxmlformats.org/officeDocument/2006/relationships/printerSettings" Target="../printerSettings/printerSettings47.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38.vml"/><Relationship Id="rId1" Type="http://schemas.openxmlformats.org/officeDocument/2006/relationships/printerSettings" Target="../printerSettings/printerSettings50.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6.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39.vml"/><Relationship Id="rId1" Type="http://schemas.openxmlformats.org/officeDocument/2006/relationships/printerSettings" Target="../printerSettings/printerSettings53.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40.xml"/><Relationship Id="rId2" Type="http://schemas.openxmlformats.org/officeDocument/2006/relationships/vmlDrawing" Target="../drawings/vmlDrawing40.vml"/><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Config">
    <tabColor theme="0" tint="-0.499984740745262"/>
  </sheetPr>
  <dimension ref="A1:BC122"/>
  <sheetViews>
    <sheetView topLeftCell="D1" zoomScale="80" zoomScaleNormal="80" zoomScaleSheetLayoutView="85" workbookViewId="0">
      <selection activeCell="T16" sqref="T16"/>
    </sheetView>
  </sheetViews>
  <sheetFormatPr defaultColWidth="9" defaultRowHeight="18.75"/>
  <cols>
    <col min="1" max="1" width="21.140625" style="318" customWidth="1"/>
    <col min="2" max="2" width="56.42578125" style="221" customWidth="1"/>
    <col min="3" max="3" width="15.5703125" style="221" customWidth="1"/>
    <col min="4" max="4" width="18" style="341" customWidth="1"/>
    <col min="5" max="5" width="58.85546875" style="221" customWidth="1"/>
    <col min="6" max="6" width="11.42578125" style="322" customWidth="1"/>
    <col min="7" max="7" width="10.42578125" style="322" customWidth="1"/>
    <col min="8" max="8" width="11.42578125" style="322" customWidth="1"/>
    <col min="9" max="9" width="16.85546875" style="221" customWidth="1"/>
    <col min="10" max="10" width="5.42578125" style="221" customWidth="1"/>
    <col min="11" max="11" width="18.140625" style="221" customWidth="1"/>
    <col min="12" max="12" width="10.42578125" style="221" customWidth="1"/>
    <col min="13" max="13" width="15.5703125" style="221" customWidth="1"/>
    <col min="14" max="14" width="9" style="221" customWidth="1"/>
    <col min="15" max="15" width="5.5703125" style="221" customWidth="1"/>
    <col min="16" max="16" width="13.85546875" style="672" customWidth="1"/>
    <col min="17" max="17" width="9" style="221" customWidth="1"/>
    <col min="18" max="18" width="12" style="221" customWidth="1"/>
    <col min="19" max="19" width="8.5703125" style="221" customWidth="1"/>
    <col min="20" max="27" width="8.42578125" style="221" customWidth="1"/>
    <col min="28" max="28" width="8" style="221" customWidth="1"/>
    <col min="29" max="31" width="9" style="221" customWidth="1"/>
    <col min="32" max="33" width="8.140625" style="221" customWidth="1"/>
    <col min="34" max="35" width="9" style="221" customWidth="1"/>
    <col min="36" max="36" width="11.5703125" style="221" customWidth="1"/>
    <col min="37" max="41" width="9" style="221" customWidth="1"/>
    <col min="42" max="42" width="12.42578125" style="221" customWidth="1"/>
    <col min="43" max="43" width="11" style="221" customWidth="1"/>
    <col min="44" max="47" width="9" style="221" customWidth="1"/>
    <col min="48" max="48" width="6.85546875" style="221" customWidth="1"/>
    <col min="49" max="49" width="7.5703125" style="221" customWidth="1"/>
    <col min="50" max="54" width="10.42578125" style="17" customWidth="1"/>
    <col min="55" max="55" width="10.140625" style="17" customWidth="1"/>
    <col min="56" max="16384" width="9" style="221"/>
  </cols>
  <sheetData>
    <row r="1" spans="1:55" ht="19.5" thickBot="1">
      <c r="A1" s="915" t="s">
        <v>428</v>
      </c>
      <c r="B1" s="916" t="s">
        <v>425</v>
      </c>
      <c r="C1" s="917" t="s">
        <v>93</v>
      </c>
      <c r="D1" s="331" t="s">
        <v>948</v>
      </c>
      <c r="E1" s="924" t="s">
        <v>2054</v>
      </c>
      <c r="F1" s="925">
        <v>1</v>
      </c>
      <c r="G1" s="925" t="s">
        <v>1534</v>
      </c>
      <c r="H1" s="925"/>
      <c r="I1" s="926" t="s">
        <v>424</v>
      </c>
      <c r="J1" s="339"/>
      <c r="K1" s="927" t="s">
        <v>306</v>
      </c>
      <c r="L1" s="928"/>
      <c r="M1" s="929" t="s">
        <v>307</v>
      </c>
      <c r="N1" s="930"/>
      <c r="O1" s="343"/>
      <c r="P1" s="931" t="s">
        <v>446</v>
      </c>
      <c r="Q1" s="931" t="s">
        <v>447</v>
      </c>
      <c r="R1" s="931"/>
      <c r="S1" s="53"/>
      <c r="T1" s="53" t="s">
        <v>2057</v>
      </c>
      <c r="U1" s="53" t="s">
        <v>2053</v>
      </c>
      <c r="V1" s="53">
        <v>1</v>
      </c>
      <c r="W1" s="53"/>
      <c r="X1" s="53"/>
      <c r="Y1" s="53"/>
      <c r="Z1" s="53">
        <v>1</v>
      </c>
      <c r="AA1" s="11"/>
      <c r="AB1" s="1002" t="str">
        <f>'THCP xay dung'!E17</f>
        <v>T</v>
      </c>
      <c r="AC1" s="1132">
        <f>'THCP xay dung'!E18</f>
        <v>0</v>
      </c>
      <c r="AD1" s="1132" t="str">
        <f>'THCP xay dung'!E19</f>
        <v>C</v>
      </c>
      <c r="AE1" s="1002" t="str">
        <f>'THCP xay dung'!E20</f>
        <v>LT</v>
      </c>
      <c r="AF1" s="1133" t="str">
        <f>'THCP xay dung'!E21</f>
        <v>TT</v>
      </c>
      <c r="AG1" s="1133" t="e">
        <f>'THCP xay dung'!#REF!</f>
        <v>#REF!</v>
      </c>
      <c r="AH1" s="1002" t="str">
        <f>'THCP xay dung'!E22</f>
        <v>GT</v>
      </c>
      <c r="AI1" s="1134" t="str">
        <f>'THCP xay dung'!E23</f>
        <v>TL</v>
      </c>
      <c r="AJ1" s="1135" t="str">
        <f>'THCP xay dung'!E24</f>
        <v>G</v>
      </c>
      <c r="AK1" s="395" t="str">
        <f>'THCP xay dung'!E25</f>
        <v>GTGT</v>
      </c>
      <c r="AL1" s="1002" t="s">
        <v>177</v>
      </c>
      <c r="AM1" s="1002" t="s">
        <v>334</v>
      </c>
      <c r="AO1" s="1002" t="str">
        <f>'THCP Lap dat'!E17</f>
        <v>T</v>
      </c>
      <c r="AP1" s="1132">
        <f>'THCP Lap dat'!E18</f>
        <v>0</v>
      </c>
      <c r="AQ1" s="1132" t="str">
        <f>'THCP Lap dat'!E19</f>
        <v>C</v>
      </c>
      <c r="AR1" s="1002" t="str">
        <f>'THCP Lap dat'!E20</f>
        <v>LT</v>
      </c>
      <c r="AS1" s="1133" t="str">
        <f>'THCP Lap dat'!E21</f>
        <v>TT</v>
      </c>
      <c r="AT1" s="1002" t="e">
        <f>'THCP Lap dat'!#REF!</f>
        <v>#REF!</v>
      </c>
      <c r="AU1" s="1134" t="str">
        <f>'THCP Lap dat'!E22</f>
        <v>GT</v>
      </c>
      <c r="AV1" s="1135" t="str">
        <f>'THCP Lap dat'!E23</f>
        <v>TL</v>
      </c>
      <c r="AW1" s="395" t="str">
        <f>'THCP Lap dat'!E24</f>
        <v>G</v>
      </c>
      <c r="AX1" s="912" t="str">
        <f>'THCP Lap dat'!E25</f>
        <v>GTGT</v>
      </c>
      <c r="AY1" s="912" t="str">
        <f>'THCP Lap dat'!E26</f>
        <v>GLD</v>
      </c>
      <c r="AZ1" s="912" t="str">
        <f>'THCP Lap dat'!E27</f>
        <v>GDP</v>
      </c>
      <c r="BA1" s="912" t="str">
        <f>'THCP Lap dat'!E28</f>
        <v>GGTLD</v>
      </c>
    </row>
    <row r="2" spans="1:55">
      <c r="A2" s="935"/>
      <c r="B2" s="936" t="s">
        <v>426</v>
      </c>
      <c r="C2" s="937"/>
      <c r="D2" s="337" t="s">
        <v>1001</v>
      </c>
      <c r="E2" t="s">
        <v>2058</v>
      </c>
      <c r="F2"/>
      <c r="G2" s="344"/>
      <c r="H2" s="344"/>
      <c r="I2" s="345"/>
      <c r="J2" s="339">
        <v>1</v>
      </c>
      <c r="K2" s="299" t="str">
        <f>'Du toan XD'!F9</f>
        <v>CÔNG TÁC ĐẤT</v>
      </c>
      <c r="L2" s="17">
        <v>8</v>
      </c>
      <c r="M2" s="17"/>
      <c r="N2" s="17"/>
      <c r="O2" s="343"/>
      <c r="P2" s="984" t="s">
        <v>448</v>
      </c>
      <c r="Q2" s="395">
        <v>0</v>
      </c>
      <c r="R2" s="395">
        <f>ROW('TH DTXD'!A34)</f>
        <v>34</v>
      </c>
      <c r="T2" s="221" t="s">
        <v>2056</v>
      </c>
      <c r="Z2" s="221">
        <v>0</v>
      </c>
      <c r="AA2" s="11"/>
      <c r="AB2" s="1132">
        <f>'THCP xay dung'!F17</f>
        <v>0</v>
      </c>
      <c r="AC2" s="1132">
        <f>'THCP xay dung'!F18</f>
        <v>0</v>
      </c>
      <c r="AD2" s="1132">
        <f ca="1">'THCP xay dung'!F19</f>
        <v>6.2E-2</v>
      </c>
      <c r="AE2" s="1132">
        <f>'THCP xay dung'!F20</f>
        <v>1.1000000000000001E-2</v>
      </c>
      <c r="AF2" s="1132">
        <f ca="1">'THCP xay dung'!F21</f>
        <v>0.02</v>
      </c>
      <c r="AG2" s="1132" t="e">
        <f>'THCP xay dung'!#REF!</f>
        <v>#REF!</v>
      </c>
      <c r="AH2" s="1132">
        <f>'THCP xay dung'!F22</f>
        <v>0</v>
      </c>
      <c r="AI2" s="1132">
        <f ca="1">'THCP xay dung'!F23</f>
        <v>0.06</v>
      </c>
      <c r="AJ2" s="1132">
        <f>'THCP xay dung'!F24</f>
        <v>0</v>
      </c>
      <c r="AK2" s="1136">
        <f>'THCP xay dung'!F25</f>
        <v>0.1</v>
      </c>
      <c r="AL2" s="1136">
        <f>'THCP xay dung'!F26</f>
        <v>0</v>
      </c>
      <c r="AM2" s="1136">
        <f ca="1">'THCP xay dung'!F27</f>
        <v>0.06</v>
      </c>
      <c r="AN2" s="1086"/>
      <c r="AO2" s="1132">
        <f>'THCP Lap dat'!F17</f>
        <v>0</v>
      </c>
      <c r="AP2" s="1132">
        <f>'THCP Lap dat'!F18</f>
        <v>0</v>
      </c>
      <c r="AQ2" s="1132">
        <f ca="1">'THCP Lap dat'!F19</f>
        <v>6.2E-2</v>
      </c>
      <c r="AR2" s="1132">
        <f>'THCP Lap dat'!F20</f>
        <v>1.1000000000000001E-2</v>
      </c>
      <c r="AS2" s="1132">
        <f ca="1">'THCP Lap dat'!F21</f>
        <v>0.02</v>
      </c>
      <c r="AT2" s="1132" t="e">
        <f>'THCP Lap dat'!#REF!</f>
        <v>#REF!</v>
      </c>
      <c r="AU2" s="1132">
        <f>'THCP Lap dat'!F22</f>
        <v>0</v>
      </c>
      <c r="AV2" s="395">
        <f ca="1">'THCP Lap dat'!F23</f>
        <v>0.06</v>
      </c>
      <c r="AW2" s="395">
        <f>'THCP Lap dat'!F24</f>
        <v>0</v>
      </c>
      <c r="AX2" s="1137">
        <f>'THCP Lap dat'!F25</f>
        <v>0.1</v>
      </c>
      <c r="AY2" s="912">
        <f>'THCP Lap dat'!F26</f>
        <v>0</v>
      </c>
      <c r="AZ2" s="912">
        <f ca="1">'THCP Lap dat'!F27</f>
        <v>0</v>
      </c>
      <c r="BA2" s="912">
        <f>'THCP Lap dat'!F28</f>
        <v>0</v>
      </c>
    </row>
    <row r="3" spans="1:55">
      <c r="A3" s="938" t="s">
        <v>503</v>
      </c>
      <c r="B3" s="939" t="s">
        <v>502</v>
      </c>
      <c r="C3" s="940">
        <v>0</v>
      </c>
      <c r="D3" s="337"/>
      <c r="E3"/>
      <c r="F3"/>
      <c r="G3" s="340"/>
      <c r="H3" s="340"/>
      <c r="I3" s="339"/>
      <c r="J3" s="339">
        <v>2</v>
      </c>
      <c r="K3" s="299" t="str">
        <f>'Du toan XD'!F65</f>
        <v>PHẦN MÓNG</v>
      </c>
      <c r="L3" s="299">
        <f>'Du toan XD'!F8</f>
        <v>0</v>
      </c>
      <c r="M3" s="17"/>
      <c r="N3" s="17"/>
      <c r="O3" s="343"/>
      <c r="P3" s="984" t="s">
        <v>449</v>
      </c>
      <c r="Q3" s="395">
        <v>0</v>
      </c>
      <c r="R3" s="395"/>
      <c r="AA3" s="11"/>
      <c r="AB3" s="737"/>
      <c r="AC3" s="740"/>
      <c r="AD3" s="740"/>
      <c r="AE3" s="740"/>
      <c r="AF3" s="740"/>
      <c r="AG3" s="740"/>
      <c r="AH3" s="740"/>
      <c r="AI3" s="740"/>
      <c r="AJ3" s="741"/>
      <c r="AO3" s="343"/>
      <c r="AP3" s="740"/>
      <c r="AQ3" s="740"/>
      <c r="AR3" s="740"/>
      <c r="AS3" s="740"/>
      <c r="AT3" s="740"/>
      <c r="AU3" s="740"/>
      <c r="AV3" s="337"/>
    </row>
    <row r="4" spans="1:55">
      <c r="A4" s="941">
        <v>2</v>
      </c>
      <c r="B4" s="939" t="s">
        <v>257</v>
      </c>
      <c r="C4" s="940">
        <v>1</v>
      </c>
      <c r="D4" s="337"/>
      <c r="E4"/>
      <c r="F4"/>
      <c r="G4" s="341"/>
      <c r="H4" s="221"/>
      <c r="I4" s="339"/>
      <c r="J4" s="339">
        <v>3</v>
      </c>
      <c r="K4" s="299" t="str">
        <f>'Du toan XD'!F104</f>
        <v>PHẦN THÂN</v>
      </c>
      <c r="L4" s="17"/>
      <c r="M4" s="17"/>
      <c r="N4" s="17"/>
      <c r="O4" s="347"/>
      <c r="P4" s="984" t="s">
        <v>450</v>
      </c>
      <c r="Q4" s="395" t="b">
        <v>0</v>
      </c>
      <c r="R4" s="395"/>
      <c r="AB4" s="737"/>
      <c r="AC4" s="740"/>
      <c r="AD4" s="740"/>
      <c r="AE4" s="740"/>
      <c r="AF4" s="740"/>
      <c r="AG4" s="740"/>
      <c r="AH4" s="740"/>
      <c r="AI4" s="740"/>
      <c r="AJ4" s="741"/>
      <c r="AO4" s="343"/>
      <c r="AP4" s="740"/>
      <c r="AQ4" s="740"/>
      <c r="AR4" s="740"/>
      <c r="AS4" s="740"/>
      <c r="AT4" s="740"/>
      <c r="AU4" s="740"/>
      <c r="AV4" s="337"/>
    </row>
    <row r="5" spans="1:55">
      <c r="A5" s="941">
        <v>3</v>
      </c>
      <c r="B5" s="939" t="s">
        <v>258</v>
      </c>
      <c r="C5" s="940">
        <v>0</v>
      </c>
      <c r="D5" s="337"/>
      <c r="E5"/>
      <c r="F5" t="s">
        <v>2055</v>
      </c>
      <c r="G5" s="341"/>
      <c r="H5" s="221"/>
      <c r="I5" s="339"/>
      <c r="J5" s="339">
        <v>8</v>
      </c>
      <c r="K5" s="299" t="str">
        <f>'Du toan XD'!F172</f>
        <v>CÔNG TÁC XÂY</v>
      </c>
      <c r="L5" s="17"/>
      <c r="M5" s="17"/>
      <c r="N5" s="17"/>
      <c r="O5" s="347"/>
      <c r="P5" s="984" t="s">
        <v>581</v>
      </c>
      <c r="Q5" s="395">
        <v>0</v>
      </c>
      <c r="R5" s="395"/>
      <c r="AB5" s="737"/>
      <c r="AC5" s="740"/>
      <c r="AD5" s="740"/>
      <c r="AE5" s="740"/>
      <c r="AF5" s="740"/>
      <c r="AG5" s="740"/>
      <c r="AH5" s="740"/>
      <c r="AI5" s="740"/>
      <c r="AJ5" s="741"/>
      <c r="AO5" s="343"/>
      <c r="AP5" s="740"/>
      <c r="AQ5" s="740"/>
      <c r="AR5" s="740"/>
      <c r="AS5" s="740"/>
      <c r="AT5" s="740"/>
      <c r="AU5" s="740"/>
      <c r="AV5" s="337"/>
      <c r="BB5" s="350"/>
      <c r="BC5" s="350"/>
    </row>
    <row r="6" spans="1:55">
      <c r="A6" s="941">
        <v>4</v>
      </c>
      <c r="B6" s="939" t="s">
        <v>16</v>
      </c>
      <c r="C6" s="940">
        <v>1</v>
      </c>
      <c r="D6" s="337"/>
      <c r="E6"/>
      <c r="F6"/>
      <c r="G6" s="341"/>
      <c r="H6" s="221"/>
      <c r="I6" s="339"/>
      <c r="J6" s="339">
        <v>4</v>
      </c>
      <c r="K6" s="2028" t="str">
        <f>'Du toan XD'!F207</f>
        <v>HỆ KÉT CẤU MÁI</v>
      </c>
      <c r="L6" s="322"/>
      <c r="M6" s="323"/>
      <c r="O6" s="347"/>
      <c r="P6" s="984" t="s">
        <v>583</v>
      </c>
      <c r="Q6" s="395">
        <v>1</v>
      </c>
      <c r="R6" s="395"/>
      <c r="AB6" s="737"/>
      <c r="AC6" s="740"/>
      <c r="AD6" s="740"/>
      <c r="AE6" s="740"/>
      <c r="AF6" s="740"/>
      <c r="AG6" s="740"/>
      <c r="AH6" s="740"/>
      <c r="AI6" s="740"/>
      <c r="AJ6" s="741"/>
      <c r="AO6" s="737"/>
      <c r="AP6" s="740"/>
      <c r="AQ6" s="740"/>
      <c r="AR6" s="740"/>
      <c r="AS6" s="740"/>
      <c r="AT6" s="740"/>
      <c r="AU6" s="740"/>
      <c r="AV6" s="337"/>
      <c r="BB6" s="350"/>
      <c r="BC6" s="350"/>
    </row>
    <row r="7" spans="1:55">
      <c r="A7" s="941">
        <v>5</v>
      </c>
      <c r="B7" s="939" t="s">
        <v>13</v>
      </c>
      <c r="C7" s="940">
        <v>0</v>
      </c>
      <c r="D7" s="337"/>
      <c r="E7"/>
      <c r="F7"/>
      <c r="G7" s="341"/>
      <c r="H7" s="221"/>
      <c r="I7" s="339"/>
      <c r="J7" s="339">
        <v>5</v>
      </c>
      <c r="K7" s="2028" t="str">
        <f>'Du toan XD'!F215</f>
        <v>PHẦN HOÀN THIỆN</v>
      </c>
      <c r="L7" s="322"/>
      <c r="M7" s="323"/>
      <c r="O7" s="347"/>
      <c r="P7" s="984" t="s">
        <v>582</v>
      </c>
      <c r="Q7" s="395">
        <v>1</v>
      </c>
      <c r="R7" s="395"/>
      <c r="AB7" s="737"/>
      <c r="AC7" s="740"/>
      <c r="AD7" s="740"/>
      <c r="AE7" s="740"/>
      <c r="AF7" s="740"/>
      <c r="AG7" s="740"/>
      <c r="AH7" s="740"/>
      <c r="AI7" s="740"/>
      <c r="AJ7" s="741"/>
      <c r="AO7" s="343"/>
      <c r="AP7" s="740"/>
      <c r="AQ7" s="740"/>
      <c r="AR7" s="740"/>
      <c r="AS7" s="740"/>
      <c r="AT7" s="740"/>
      <c r="AU7" s="740"/>
      <c r="AV7" s="337"/>
      <c r="BB7" s="350"/>
      <c r="BC7" s="350"/>
    </row>
    <row r="8" spans="1:55">
      <c r="A8" s="941">
        <v>6</v>
      </c>
      <c r="B8" s="939" t="s">
        <v>27</v>
      </c>
      <c r="C8" s="940">
        <v>0</v>
      </c>
      <c r="D8" s="337"/>
      <c r="E8"/>
      <c r="F8"/>
      <c r="G8" s="341"/>
      <c r="H8" s="221"/>
      <c r="I8" s="339"/>
      <c r="J8" s="339">
        <v>6</v>
      </c>
      <c r="K8" s="2028" t="str">
        <f>'Du toan XD'!F290</f>
        <v>HỆ CỬA</v>
      </c>
      <c r="L8" s="322"/>
      <c r="O8" s="347"/>
      <c r="P8" s="984" t="s">
        <v>580</v>
      </c>
      <c r="Q8" s="395">
        <v>0</v>
      </c>
      <c r="R8" s="395"/>
      <c r="AB8" s="737"/>
      <c r="AC8" s="740"/>
      <c r="AD8" s="740"/>
      <c r="AE8" s="740"/>
      <c r="AF8" s="740"/>
      <c r="AG8" s="740"/>
      <c r="AH8" s="740"/>
      <c r="AI8" s="740"/>
      <c r="AJ8" s="741"/>
      <c r="AO8" s="343"/>
      <c r="AP8" s="740"/>
      <c r="AQ8" s="740"/>
      <c r="AR8" s="740"/>
      <c r="AS8" s="740"/>
      <c r="AT8" s="740"/>
      <c r="AU8" s="740"/>
      <c r="AV8" s="337"/>
      <c r="BB8" s="350"/>
      <c r="BC8" s="350"/>
    </row>
    <row r="9" spans="1:55">
      <c r="A9" s="941">
        <v>7</v>
      </c>
      <c r="B9" s="939" t="s">
        <v>259</v>
      </c>
      <c r="C9" s="940">
        <v>0</v>
      </c>
      <c r="D9" s="337"/>
      <c r="E9"/>
      <c r="F9"/>
      <c r="G9" s="341"/>
      <c r="H9" s="221"/>
      <c r="I9" s="339"/>
      <c r="J9" s="339">
        <v>7</v>
      </c>
      <c r="K9" s="2028" t="str">
        <f>'Du toan XD'!F311</f>
        <v>PHẦN ĐIỆN</v>
      </c>
      <c r="L9" s="322"/>
      <c r="N9" s="324"/>
      <c r="O9" s="343"/>
      <c r="P9" s="984"/>
      <c r="Q9" s="395">
        <v>0</v>
      </c>
      <c r="R9" s="395"/>
      <c r="AB9" s="737"/>
      <c r="AC9" s="740"/>
      <c r="AD9" s="740"/>
      <c r="AE9" s="740"/>
      <c r="AF9" s="740"/>
      <c r="AG9" s="740"/>
      <c r="AH9" s="740"/>
      <c r="AI9" s="740"/>
      <c r="AJ9" s="741"/>
      <c r="AO9" s="343"/>
      <c r="AP9" s="740"/>
      <c r="AQ9" s="740"/>
      <c r="AR9" s="740"/>
      <c r="AS9" s="740"/>
      <c r="AT9" s="740"/>
      <c r="AU9" s="740"/>
      <c r="AV9" s="337"/>
      <c r="BB9" s="350"/>
      <c r="BC9" s="350"/>
    </row>
    <row r="10" spans="1:55">
      <c r="A10" s="941">
        <v>8</v>
      </c>
      <c r="B10" s="939" t="s">
        <v>260</v>
      </c>
      <c r="C10" s="940">
        <v>0</v>
      </c>
      <c r="D10" s="337"/>
      <c r="E10"/>
      <c r="F10"/>
      <c r="G10" s="341"/>
      <c r="H10" s="221"/>
      <c r="I10" s="339"/>
      <c r="J10" s="339"/>
      <c r="K10" s="322"/>
      <c r="L10" s="322"/>
      <c r="N10" s="324"/>
      <c r="O10" s="343"/>
      <c r="Q10" s="221" t="s">
        <v>1570</v>
      </c>
      <c r="AB10" s="343"/>
      <c r="AJ10" s="337"/>
      <c r="AO10" s="343"/>
      <c r="AV10" s="337"/>
      <c r="BB10" s="350"/>
      <c r="BC10" s="350"/>
    </row>
    <row r="11" spans="1:55">
      <c r="A11" s="941">
        <v>9</v>
      </c>
      <c r="B11" s="939" t="s">
        <v>261</v>
      </c>
      <c r="C11" s="940">
        <v>1</v>
      </c>
      <c r="D11" s="337"/>
      <c r="E11"/>
      <c r="F11"/>
      <c r="G11" s="341"/>
      <c r="H11" s="221"/>
      <c r="I11" s="339"/>
      <c r="J11" s="339"/>
      <c r="K11" s="322"/>
      <c r="L11" s="322"/>
      <c r="N11" s="324"/>
      <c r="O11" s="343"/>
      <c r="AB11" s="343"/>
      <c r="AJ11" s="337"/>
      <c r="AO11" s="343"/>
      <c r="AV11" s="337"/>
      <c r="BB11" s="350"/>
      <c r="BC11" s="350"/>
    </row>
    <row r="12" spans="1:55">
      <c r="A12" s="941">
        <v>10</v>
      </c>
      <c r="B12" s="939" t="s">
        <v>262</v>
      </c>
      <c r="C12" s="940">
        <v>1</v>
      </c>
      <c r="D12" s="337"/>
      <c r="E12"/>
      <c r="F12"/>
      <c r="G12" s="341"/>
      <c r="H12" s="221"/>
      <c r="I12" s="339"/>
      <c r="J12" s="339"/>
      <c r="K12" s="322"/>
      <c r="L12" s="322"/>
      <c r="M12" s="325"/>
      <c r="N12" s="324"/>
      <c r="O12" s="343"/>
      <c r="AB12" s="343"/>
      <c r="AJ12" s="337"/>
      <c r="AO12" s="343"/>
      <c r="AV12" s="337"/>
      <c r="BB12" s="350"/>
      <c r="BC12" s="350"/>
    </row>
    <row r="13" spans="1:55">
      <c r="A13" s="941">
        <v>11</v>
      </c>
      <c r="B13" s="939" t="s">
        <v>263</v>
      </c>
      <c r="C13" s="940">
        <v>0</v>
      </c>
      <c r="D13" s="337"/>
      <c r="E13"/>
      <c r="F13"/>
      <c r="G13" s="341"/>
      <c r="H13" s="221"/>
      <c r="I13" s="339"/>
      <c r="J13" s="339"/>
      <c r="K13" s="322"/>
      <c r="L13" s="322"/>
      <c r="N13" s="324"/>
      <c r="O13" s="343"/>
      <c r="AB13" s="343"/>
      <c r="AJ13" s="337"/>
      <c r="AO13" s="343"/>
      <c r="AV13" s="337"/>
      <c r="BB13" s="350"/>
      <c r="BC13" s="350"/>
    </row>
    <row r="14" spans="1:55">
      <c r="A14" s="941">
        <v>12</v>
      </c>
      <c r="B14" s="939" t="s">
        <v>17</v>
      </c>
      <c r="C14" s="940">
        <v>3</v>
      </c>
      <c r="D14" s="337"/>
      <c r="E14"/>
      <c r="F14"/>
      <c r="G14" s="341"/>
      <c r="H14" s="221"/>
      <c r="I14" s="339"/>
      <c r="J14" s="339"/>
      <c r="K14" s="322"/>
      <c r="L14" s="322"/>
      <c r="M14" s="326"/>
      <c r="O14" s="343"/>
      <c r="AB14" s="343"/>
      <c r="AJ14" s="337"/>
      <c r="AO14" s="343"/>
      <c r="AV14" s="337"/>
      <c r="BB14" s="350"/>
      <c r="BC14" s="350"/>
    </row>
    <row r="15" spans="1:55">
      <c r="A15" s="941">
        <v>13</v>
      </c>
      <c r="B15" s="939" t="s">
        <v>2</v>
      </c>
      <c r="C15" s="940">
        <v>0</v>
      </c>
      <c r="D15" s="337"/>
      <c r="E15"/>
      <c r="F15"/>
      <c r="G15" s="341"/>
      <c r="H15" s="221"/>
      <c r="I15" s="339"/>
      <c r="J15" s="339"/>
      <c r="K15" s="322"/>
      <c r="L15" s="322"/>
      <c r="O15" s="343"/>
      <c r="AB15" s="343"/>
      <c r="AJ15" s="337"/>
      <c r="AO15" s="343"/>
      <c r="AV15" s="337"/>
      <c r="BA15" s="349"/>
      <c r="BB15" s="350"/>
      <c r="BC15" s="350"/>
    </row>
    <row r="16" spans="1:55">
      <c r="A16" s="941">
        <v>14</v>
      </c>
      <c r="B16" s="939" t="s">
        <v>19</v>
      </c>
      <c r="C16" s="940">
        <v>1</v>
      </c>
      <c r="D16" s="337"/>
      <c r="E16"/>
      <c r="F16"/>
      <c r="G16" s="341"/>
      <c r="H16" s="221"/>
      <c r="I16" s="339"/>
      <c r="J16" s="339"/>
      <c r="K16" s="322"/>
      <c r="L16" s="322"/>
      <c r="O16" s="343"/>
      <c r="AB16" s="343"/>
      <c r="AC16" s="324"/>
      <c r="AD16" s="324"/>
      <c r="AE16" s="324"/>
      <c r="AJ16" s="337"/>
      <c r="AO16" s="343"/>
      <c r="AV16" s="337"/>
      <c r="BB16" s="350"/>
      <c r="BC16" s="350"/>
    </row>
    <row r="17" spans="1:55">
      <c r="A17" s="938">
        <v>15</v>
      </c>
      <c r="B17" s="939" t="s">
        <v>14</v>
      </c>
      <c r="C17" s="940">
        <v>2</v>
      </c>
      <c r="D17" s="337"/>
      <c r="E17"/>
      <c r="F17"/>
      <c r="G17" s="341"/>
      <c r="H17" s="221"/>
      <c r="I17" s="339"/>
      <c r="J17" s="339"/>
      <c r="K17" s="322"/>
      <c r="L17" s="322"/>
      <c r="O17" s="343"/>
      <c r="AB17" s="343"/>
      <c r="AC17" s="324"/>
      <c r="AD17" s="324"/>
      <c r="AE17" s="324"/>
      <c r="AJ17" s="337"/>
      <c r="AO17" s="343"/>
      <c r="AV17" s="337"/>
      <c r="BA17" s="349"/>
      <c r="BB17" s="350"/>
      <c r="BC17" s="350"/>
    </row>
    <row r="18" spans="1:55">
      <c r="A18" s="938">
        <v>16</v>
      </c>
      <c r="B18" s="939" t="s">
        <v>9</v>
      </c>
      <c r="C18" s="940">
        <v>1</v>
      </c>
      <c r="D18" s="337"/>
      <c r="E18"/>
      <c r="F18"/>
      <c r="G18" s="341"/>
      <c r="H18" s="221"/>
      <c r="I18" s="342"/>
      <c r="J18" s="342"/>
      <c r="K18" s="322"/>
      <c r="L18" s="322"/>
      <c r="O18" s="343"/>
      <c r="AB18" s="343"/>
      <c r="AC18" s="324"/>
      <c r="AD18" s="324"/>
      <c r="AE18" s="324"/>
      <c r="AJ18" s="337"/>
      <c r="AO18" s="343"/>
      <c r="AV18" s="337"/>
      <c r="BB18" s="350"/>
      <c r="BC18" s="350"/>
    </row>
    <row r="19" spans="1:55">
      <c r="A19" s="938">
        <v>17</v>
      </c>
      <c r="B19" s="939" t="s">
        <v>10</v>
      </c>
      <c r="C19" s="940">
        <v>0</v>
      </c>
      <c r="D19" s="337"/>
      <c r="E19"/>
      <c r="F19"/>
      <c r="G19" s="341"/>
      <c r="H19" s="221"/>
      <c r="I19" s="342"/>
      <c r="J19" s="342"/>
      <c r="K19" s="322"/>
      <c r="L19" s="322"/>
      <c r="O19" s="343"/>
      <c r="AB19" s="343"/>
      <c r="AC19" s="324"/>
      <c r="AD19" s="324"/>
      <c r="AE19" s="324"/>
      <c r="AJ19" s="337"/>
      <c r="AO19" s="343"/>
      <c r="AV19" s="337"/>
      <c r="BA19" s="349"/>
      <c r="BB19" s="350"/>
      <c r="BC19" s="350"/>
    </row>
    <row r="20" spans="1:55">
      <c r="A20" s="938">
        <v>18</v>
      </c>
      <c r="B20" s="939" t="s">
        <v>12</v>
      </c>
      <c r="C20" s="940">
        <v>1</v>
      </c>
      <c r="D20" s="337"/>
      <c r="E20"/>
      <c r="F20"/>
      <c r="G20" s="341"/>
      <c r="H20" s="221"/>
      <c r="I20" s="342"/>
      <c r="J20" s="342"/>
      <c r="K20" s="322"/>
      <c r="L20" s="322"/>
      <c r="O20" s="343"/>
      <c r="AB20" s="343"/>
      <c r="AC20" s="324"/>
      <c r="AD20" s="324"/>
      <c r="AE20" s="324"/>
      <c r="AJ20" s="337"/>
      <c r="AO20" s="343"/>
      <c r="AV20" s="337"/>
      <c r="BB20" s="350"/>
      <c r="BC20" s="350"/>
    </row>
    <row r="21" spans="1:55">
      <c r="A21" s="938">
        <v>19</v>
      </c>
      <c r="B21" s="939" t="s">
        <v>6</v>
      </c>
      <c r="C21" s="940">
        <v>1</v>
      </c>
      <c r="D21" s="337"/>
      <c r="E21"/>
      <c r="F21"/>
      <c r="G21" s="341"/>
      <c r="H21" s="221"/>
      <c r="I21" s="342"/>
      <c r="J21" s="342"/>
      <c r="K21" s="322"/>
      <c r="L21" s="322"/>
      <c r="O21" s="343"/>
      <c r="AB21" s="343"/>
      <c r="AC21" s="324"/>
      <c r="AD21" s="324"/>
      <c r="AE21" s="324"/>
      <c r="AJ21" s="337"/>
      <c r="AO21" s="343"/>
      <c r="AV21" s="337"/>
      <c r="BA21" s="349"/>
      <c r="BB21" s="350"/>
      <c r="BC21" s="350"/>
    </row>
    <row r="22" spans="1:55">
      <c r="A22" s="938">
        <v>20</v>
      </c>
      <c r="B22" s="939" t="s">
        <v>7</v>
      </c>
      <c r="C22" s="940">
        <v>1</v>
      </c>
      <c r="D22" s="337"/>
      <c r="E22"/>
      <c r="F22"/>
      <c r="G22" s="341"/>
      <c r="H22" s="221"/>
      <c r="I22" s="342"/>
      <c r="J22" s="342"/>
      <c r="K22" s="322"/>
      <c r="L22" s="322"/>
      <c r="O22" s="347"/>
      <c r="Q22" s="324"/>
      <c r="R22" s="324"/>
      <c r="S22" s="324"/>
      <c r="T22" s="324"/>
      <c r="U22" s="324"/>
      <c r="V22" s="324"/>
      <c r="W22" s="324"/>
      <c r="X22" s="324"/>
      <c r="Y22" s="324"/>
      <c r="Z22" s="324"/>
      <c r="AA22" s="324"/>
      <c r="AB22" s="347"/>
      <c r="AF22" s="324"/>
      <c r="AG22" s="324"/>
      <c r="AH22" s="324"/>
      <c r="AI22" s="324"/>
      <c r="AJ22" s="738"/>
      <c r="AK22" s="324"/>
      <c r="AL22" s="324"/>
      <c r="AM22" s="324"/>
      <c r="AN22" s="324"/>
      <c r="AO22" s="347"/>
      <c r="AQ22" s="324"/>
      <c r="AR22" s="324"/>
      <c r="AS22" s="324"/>
      <c r="AT22" s="324"/>
      <c r="AU22" s="324"/>
      <c r="AV22" s="738"/>
      <c r="AW22" s="324"/>
      <c r="BA22" s="349"/>
      <c r="BB22" s="350"/>
      <c r="BC22" s="350"/>
    </row>
    <row r="23" spans="1:55">
      <c r="A23" s="938">
        <v>21</v>
      </c>
      <c r="B23" s="939" t="s">
        <v>8</v>
      </c>
      <c r="C23" s="940">
        <v>1</v>
      </c>
      <c r="D23" s="337"/>
      <c r="E23"/>
      <c r="F23"/>
      <c r="G23" s="341"/>
      <c r="H23" s="221"/>
      <c r="I23" s="342"/>
      <c r="J23" s="342"/>
      <c r="K23" s="322"/>
      <c r="L23" s="322"/>
      <c r="O23" s="347"/>
      <c r="Q23" s="324"/>
      <c r="R23" s="324"/>
      <c r="S23" s="324"/>
      <c r="T23" s="324"/>
      <c r="U23" s="324"/>
      <c r="V23" s="324"/>
      <c r="W23" s="324"/>
      <c r="X23" s="324"/>
      <c r="Y23" s="324"/>
      <c r="Z23" s="324"/>
      <c r="AA23" s="324"/>
      <c r="AB23" s="347"/>
      <c r="AC23" s="324"/>
      <c r="AD23" s="324"/>
      <c r="AE23" s="324"/>
      <c r="AF23" s="324"/>
      <c r="AG23" s="324"/>
      <c r="AH23" s="324"/>
      <c r="AI23" s="324"/>
      <c r="AJ23" s="738"/>
      <c r="AK23" s="324"/>
      <c r="AL23" s="324"/>
      <c r="AM23" s="324"/>
      <c r="AN23" s="324"/>
      <c r="AO23" s="347"/>
      <c r="AQ23" s="324"/>
      <c r="AR23" s="324"/>
      <c r="AS23" s="324"/>
      <c r="AT23" s="324"/>
      <c r="AU23" s="324"/>
      <c r="AV23" s="738"/>
      <c r="AW23" s="324"/>
      <c r="BA23" s="349"/>
      <c r="BB23" s="350"/>
      <c r="BC23" s="350"/>
    </row>
    <row r="24" spans="1:55">
      <c r="A24" s="938">
        <v>22</v>
      </c>
      <c r="B24" s="939" t="s">
        <v>11</v>
      </c>
      <c r="C24" s="940">
        <v>1</v>
      </c>
      <c r="D24" s="337"/>
      <c r="E24"/>
      <c r="F24"/>
      <c r="G24" s="341"/>
      <c r="H24" s="221"/>
      <c r="I24" s="342"/>
      <c r="J24" s="342"/>
      <c r="K24" s="322"/>
      <c r="L24" s="322"/>
      <c r="O24" s="347"/>
      <c r="Q24" s="324"/>
      <c r="R24" s="324"/>
      <c r="S24" s="324"/>
      <c r="T24" s="324"/>
      <c r="U24" s="324"/>
      <c r="V24" s="324"/>
      <c r="W24" s="324"/>
      <c r="X24" s="324"/>
      <c r="Y24" s="324"/>
      <c r="Z24" s="324"/>
      <c r="AA24" s="324"/>
      <c r="AB24" s="347"/>
      <c r="AC24" s="324"/>
      <c r="AD24" s="324"/>
      <c r="AE24" s="324"/>
      <c r="AF24" s="324"/>
      <c r="AG24" s="324"/>
      <c r="AH24" s="324"/>
      <c r="AI24" s="324"/>
      <c r="AJ24" s="738"/>
      <c r="AK24" s="324"/>
      <c r="AL24" s="324"/>
      <c r="AM24" s="324"/>
      <c r="AN24" s="324"/>
      <c r="AO24" s="347"/>
      <c r="AQ24" s="324"/>
      <c r="AR24" s="324"/>
      <c r="AS24" s="324"/>
      <c r="AT24" s="324"/>
      <c r="AU24" s="324"/>
      <c r="AV24" s="738"/>
      <c r="AW24" s="324"/>
      <c r="BA24" s="349"/>
      <c r="BB24" s="350"/>
      <c r="BC24" s="350"/>
    </row>
    <row r="25" spans="1:55" s="324" customFormat="1">
      <c r="A25" s="938">
        <v>23</v>
      </c>
      <c r="B25" s="939" t="s">
        <v>6</v>
      </c>
      <c r="C25" s="940">
        <v>0</v>
      </c>
      <c r="D25" s="337"/>
      <c r="E25"/>
      <c r="F25"/>
      <c r="G25" s="341"/>
      <c r="H25" s="221"/>
      <c r="I25" s="342"/>
      <c r="J25" s="342"/>
      <c r="K25" s="328"/>
      <c r="L25" s="328"/>
      <c r="M25" s="221"/>
      <c r="N25" s="221"/>
      <c r="O25" s="347"/>
      <c r="AB25" s="347"/>
      <c r="AJ25" s="738"/>
      <c r="AO25" s="347"/>
      <c r="AV25" s="738"/>
      <c r="AX25" s="17"/>
      <c r="AY25" s="17"/>
      <c r="AZ25" s="17"/>
      <c r="BA25" s="17"/>
      <c r="BB25" s="350"/>
      <c r="BC25" s="350"/>
    </row>
    <row r="26" spans="1:55" s="324" customFormat="1">
      <c r="A26" s="938">
        <v>24</v>
      </c>
      <c r="B26" s="939" t="s">
        <v>7</v>
      </c>
      <c r="C26" s="940">
        <v>0</v>
      </c>
      <c r="D26" s="337"/>
      <c r="E26"/>
      <c r="F26"/>
      <c r="G26" s="341"/>
      <c r="H26" s="221"/>
      <c r="I26" s="342"/>
      <c r="J26" s="342"/>
      <c r="K26" s="328"/>
      <c r="L26" s="328"/>
      <c r="N26" s="221"/>
      <c r="O26" s="347"/>
      <c r="AB26" s="347"/>
      <c r="AC26" s="221"/>
      <c r="AD26" s="221"/>
      <c r="AE26" s="221"/>
      <c r="AJ26" s="738"/>
      <c r="AO26" s="347"/>
      <c r="AV26" s="738"/>
      <c r="AX26" s="17"/>
      <c r="AY26" s="17"/>
      <c r="AZ26" s="17"/>
      <c r="BA26" s="17"/>
      <c r="BB26" s="350"/>
      <c r="BC26" s="350"/>
    </row>
    <row r="27" spans="1:55">
      <c r="A27" s="938">
        <v>25</v>
      </c>
      <c r="B27" s="939" t="s">
        <v>8</v>
      </c>
      <c r="C27" s="940">
        <v>0</v>
      </c>
      <c r="D27" s="337"/>
      <c r="E27"/>
      <c r="F27"/>
      <c r="G27" s="341"/>
      <c r="H27" s="221"/>
      <c r="I27" s="342"/>
      <c r="J27" s="342"/>
      <c r="K27" s="329"/>
      <c r="L27" s="329"/>
      <c r="M27" s="324"/>
      <c r="N27" s="324"/>
      <c r="O27" s="343"/>
      <c r="AB27" s="343"/>
      <c r="AJ27" s="337"/>
      <c r="AO27" s="343"/>
      <c r="AV27" s="337"/>
      <c r="BB27" s="350"/>
      <c r="BC27" s="350"/>
    </row>
    <row r="28" spans="1:55" s="324" customFormat="1">
      <c r="A28" s="938">
        <v>26</v>
      </c>
      <c r="B28" s="939" t="s">
        <v>11</v>
      </c>
      <c r="C28" s="940">
        <v>0</v>
      </c>
      <c r="D28" s="337"/>
      <c r="E28"/>
      <c r="F28"/>
      <c r="G28" s="341"/>
      <c r="H28" s="221"/>
      <c r="I28" s="342"/>
      <c r="J28" s="342"/>
      <c r="K28" s="329"/>
      <c r="L28" s="329"/>
      <c r="O28" s="347"/>
      <c r="AB28" s="347"/>
      <c r="AC28" s="221"/>
      <c r="AD28" s="221"/>
      <c r="AE28" s="221"/>
      <c r="AJ28" s="738"/>
      <c r="AO28" s="347"/>
      <c r="AV28" s="738"/>
      <c r="AX28" s="349"/>
      <c r="AY28" s="349"/>
      <c r="AZ28" s="349"/>
      <c r="BA28" s="17"/>
      <c r="BB28" s="17"/>
      <c r="BC28" s="349"/>
    </row>
    <row r="29" spans="1:55" s="324" customFormat="1">
      <c r="A29" s="938">
        <v>27</v>
      </c>
      <c r="B29" s="939" t="s">
        <v>5</v>
      </c>
      <c r="C29" s="940">
        <v>0</v>
      </c>
      <c r="D29" s="337"/>
      <c r="E29"/>
      <c r="F29"/>
      <c r="G29" s="341"/>
      <c r="H29" s="221"/>
      <c r="I29" s="342"/>
      <c r="J29" s="342"/>
      <c r="K29" s="330"/>
      <c r="L29" s="330"/>
      <c r="O29" s="347"/>
      <c r="AB29" s="347"/>
      <c r="AC29" s="221"/>
      <c r="AD29" s="221"/>
      <c r="AE29" s="221"/>
      <c r="AJ29" s="738"/>
      <c r="AO29" s="347"/>
      <c r="AV29" s="738"/>
      <c r="AX29" s="349"/>
      <c r="AY29" s="349"/>
      <c r="AZ29" s="349"/>
      <c r="BA29" s="17"/>
      <c r="BB29" s="17"/>
      <c r="BC29" s="349"/>
    </row>
    <row r="30" spans="1:55" s="324" customFormat="1">
      <c r="A30" s="938">
        <v>28</v>
      </c>
      <c r="B30" s="939" t="s">
        <v>0</v>
      </c>
      <c r="C30" s="940">
        <v>1</v>
      </c>
      <c r="D30" s="337"/>
      <c r="E30"/>
      <c r="F30"/>
      <c r="G30" s="341"/>
      <c r="H30" s="221"/>
      <c r="I30" s="342"/>
      <c r="J30" s="342"/>
      <c r="K30" s="330"/>
      <c r="L30" s="330"/>
      <c r="O30" s="347"/>
      <c r="AB30" s="347"/>
      <c r="AC30" s="221"/>
      <c r="AD30" s="221"/>
      <c r="AE30" s="221"/>
      <c r="AJ30" s="738"/>
      <c r="AO30" s="347"/>
      <c r="AV30" s="738"/>
      <c r="AX30" s="17"/>
      <c r="AY30" s="349"/>
      <c r="AZ30" s="349"/>
      <c r="BA30" s="17"/>
      <c r="BB30" s="17"/>
      <c r="BC30" s="349"/>
    </row>
    <row r="31" spans="1:55" s="324" customFormat="1">
      <c r="A31" s="938">
        <v>29</v>
      </c>
      <c r="B31" s="939" t="s">
        <v>15</v>
      </c>
      <c r="C31" s="940">
        <v>3</v>
      </c>
      <c r="D31" s="337"/>
      <c r="E31"/>
      <c r="F31"/>
      <c r="G31" s="341"/>
      <c r="H31" s="221"/>
      <c r="I31" s="342"/>
      <c r="J31" s="342"/>
      <c r="K31" s="330"/>
      <c r="L31" s="330"/>
      <c r="O31" s="347"/>
      <c r="AB31" s="347"/>
      <c r="AC31" s="221"/>
      <c r="AD31" s="221"/>
      <c r="AE31" s="221"/>
      <c r="AJ31" s="738"/>
      <c r="AO31" s="347"/>
      <c r="AV31" s="738"/>
      <c r="AX31" s="17"/>
      <c r="AY31" s="349"/>
      <c r="AZ31" s="349"/>
      <c r="BA31" s="17"/>
      <c r="BB31" s="17"/>
      <c r="BC31" s="349"/>
    </row>
    <row r="32" spans="1:55" s="324" customFormat="1">
      <c r="A32" s="938">
        <v>30</v>
      </c>
      <c r="B32" s="939" t="s">
        <v>3</v>
      </c>
      <c r="C32" s="940">
        <v>0</v>
      </c>
      <c r="D32" s="337"/>
      <c r="E32"/>
      <c r="F32"/>
      <c r="G32" s="341"/>
      <c r="H32" s="221"/>
      <c r="I32" s="342"/>
      <c r="J32" s="342"/>
      <c r="K32" s="322"/>
      <c r="L32" s="322"/>
      <c r="M32" s="221"/>
      <c r="N32" s="221"/>
      <c r="O32" s="343"/>
      <c r="Q32" s="221"/>
      <c r="R32" s="221"/>
      <c r="S32" s="221"/>
      <c r="T32" s="221"/>
      <c r="U32" s="221"/>
      <c r="V32" s="221"/>
      <c r="W32" s="221"/>
      <c r="X32" s="221"/>
      <c r="Y32" s="221"/>
      <c r="Z32" s="221"/>
      <c r="AA32" s="221"/>
      <c r="AB32" s="343"/>
      <c r="AC32" s="221"/>
      <c r="AD32" s="221"/>
      <c r="AE32" s="221"/>
      <c r="AF32" s="221"/>
      <c r="AG32" s="221"/>
      <c r="AH32" s="221"/>
      <c r="AI32" s="221"/>
      <c r="AJ32" s="337"/>
      <c r="AK32" s="221"/>
      <c r="AL32" s="221"/>
      <c r="AM32" s="221"/>
      <c r="AN32" s="221"/>
      <c r="AO32" s="343"/>
      <c r="AQ32" s="221"/>
      <c r="AR32" s="221"/>
      <c r="AS32" s="221"/>
      <c r="AT32" s="221"/>
      <c r="AU32" s="221"/>
      <c r="AV32" s="337"/>
      <c r="AW32" s="221"/>
      <c r="AX32" s="349"/>
      <c r="AY32" s="349"/>
      <c r="AZ32" s="349"/>
      <c r="BA32" s="17"/>
      <c r="BB32" s="17"/>
      <c r="BC32" s="672"/>
    </row>
    <row r="33" spans="1:55" s="324" customFormat="1">
      <c r="A33" s="938">
        <v>31</v>
      </c>
      <c r="B33" s="939" t="s">
        <v>1</v>
      </c>
      <c r="C33" s="940">
        <v>0</v>
      </c>
      <c r="D33" s="934"/>
      <c r="E33"/>
      <c r="F33"/>
      <c r="G33" s="334"/>
      <c r="H33" s="327"/>
      <c r="I33" s="337"/>
      <c r="J33" s="337"/>
      <c r="K33" s="329"/>
      <c r="L33" s="329"/>
      <c r="O33" s="343"/>
      <c r="Q33" s="221"/>
      <c r="R33" s="221"/>
      <c r="S33" s="221"/>
      <c r="T33" s="221"/>
      <c r="U33" s="221"/>
      <c r="V33" s="221"/>
      <c r="W33" s="221"/>
      <c r="X33" s="221"/>
      <c r="Y33" s="221"/>
      <c r="Z33" s="221"/>
      <c r="AA33" s="221"/>
      <c r="AB33" s="343"/>
      <c r="AC33" s="221"/>
      <c r="AD33" s="221"/>
      <c r="AE33" s="221"/>
      <c r="AH33" s="221"/>
      <c r="AI33" s="221"/>
      <c r="AJ33" s="337"/>
      <c r="AK33" s="221"/>
      <c r="AL33" s="221"/>
      <c r="AM33" s="221"/>
      <c r="AN33" s="221"/>
      <c r="AO33" s="343"/>
      <c r="AP33" s="221"/>
      <c r="AQ33" s="221"/>
      <c r="AR33" s="221"/>
      <c r="AS33" s="221"/>
      <c r="AT33" s="739"/>
      <c r="AU33" s="221"/>
      <c r="AV33" s="337"/>
      <c r="AW33" s="221"/>
      <c r="AX33" s="349"/>
      <c r="AY33" s="349"/>
      <c r="AZ33" s="349"/>
      <c r="BA33" s="17"/>
      <c r="BB33" s="17"/>
      <c r="BC33" s="672"/>
    </row>
    <row r="34" spans="1:55" s="324" customFormat="1" ht="19.5" thickBot="1">
      <c r="A34" s="942" t="s">
        <v>496</v>
      </c>
      <c r="B34" s="943" t="s">
        <v>495</v>
      </c>
      <c r="C34" s="944">
        <v>0</v>
      </c>
      <c r="D34" s="333"/>
      <c r="E34"/>
      <c r="F34"/>
      <c r="G34" s="334"/>
      <c r="H34" s="327"/>
      <c r="I34" s="337"/>
      <c r="J34" s="337"/>
      <c r="K34" s="329"/>
      <c r="L34" s="329"/>
      <c r="O34" s="343"/>
      <c r="Q34" s="221"/>
      <c r="R34" s="221"/>
      <c r="S34" s="221"/>
      <c r="T34" s="221"/>
      <c r="U34" s="221"/>
      <c r="V34" s="221"/>
      <c r="W34" s="221"/>
      <c r="X34" s="221"/>
      <c r="Y34" s="221"/>
      <c r="Z34" s="221"/>
      <c r="AA34" s="221"/>
      <c r="AB34" s="343"/>
      <c r="AC34" s="221"/>
      <c r="AD34" s="221"/>
      <c r="AE34" s="221"/>
      <c r="AH34" s="221"/>
      <c r="AI34" s="221"/>
      <c r="AJ34" s="337"/>
      <c r="AK34" s="221"/>
      <c r="AL34" s="221"/>
      <c r="AM34" s="221"/>
      <c r="AN34" s="221"/>
      <c r="AO34" s="343"/>
      <c r="AP34" s="221"/>
      <c r="AQ34" s="221"/>
      <c r="AR34" s="221"/>
      <c r="AS34" s="221"/>
      <c r="AT34" s="221"/>
      <c r="AU34" s="221"/>
      <c r="AV34" s="337"/>
      <c r="AW34" s="221"/>
      <c r="AX34" s="349"/>
      <c r="AY34" s="349"/>
      <c r="AZ34" s="349"/>
      <c r="BA34" s="17"/>
      <c r="BB34" s="17"/>
      <c r="BC34" s="672"/>
    </row>
    <row r="35" spans="1:55">
      <c r="A35" s="348"/>
      <c r="B35" s="932" t="s">
        <v>427</v>
      </c>
      <c r="C35" s="338"/>
      <c r="D35" s="332"/>
      <c r="E35"/>
      <c r="F35"/>
      <c r="G35" s="334"/>
      <c r="H35" s="327"/>
      <c r="I35" s="337"/>
      <c r="J35" s="337"/>
      <c r="K35" s="330"/>
      <c r="L35" s="330"/>
      <c r="M35" s="324"/>
      <c r="N35" s="324"/>
      <c r="O35" s="343"/>
      <c r="AB35" s="343"/>
      <c r="AF35" s="324"/>
      <c r="AG35" s="324"/>
      <c r="AJ35" s="337"/>
      <c r="AO35" s="343"/>
      <c r="AV35" s="337"/>
      <c r="AX35" s="349"/>
      <c r="BC35" s="672"/>
    </row>
    <row r="36" spans="1:55" s="324" customFormat="1">
      <c r="A36" s="25" t="s">
        <v>429</v>
      </c>
      <c r="B36" s="221" t="s">
        <v>37</v>
      </c>
      <c r="C36" s="923">
        <f>Ts!N37</f>
        <v>1</v>
      </c>
      <c r="D36" s="332"/>
      <c r="E36"/>
      <c r="F36"/>
      <c r="G36" s="334"/>
      <c r="H36" s="327"/>
      <c r="I36" s="337"/>
      <c r="J36" s="337"/>
      <c r="K36" s="329"/>
      <c r="L36" s="329"/>
      <c r="O36" s="343"/>
      <c r="Q36" s="221"/>
      <c r="R36" s="221"/>
      <c r="S36" s="221"/>
      <c r="T36" s="221"/>
      <c r="U36" s="221"/>
      <c r="V36" s="221"/>
      <c r="W36" s="221"/>
      <c r="X36" s="221"/>
      <c r="Y36" s="221"/>
      <c r="Z36" s="221"/>
      <c r="AA36" s="221"/>
      <c r="AB36" s="343"/>
      <c r="AC36" s="221"/>
      <c r="AD36" s="221"/>
      <c r="AE36" s="221"/>
      <c r="AH36" s="221"/>
      <c r="AI36" s="221"/>
      <c r="AJ36" s="337"/>
      <c r="AK36" s="221"/>
      <c r="AL36" s="221"/>
      <c r="AM36" s="221"/>
      <c r="AN36" s="221"/>
      <c r="AO36" s="343"/>
      <c r="AP36" s="221"/>
      <c r="AQ36" s="221"/>
      <c r="AR36" s="221"/>
      <c r="AS36" s="221"/>
      <c r="AT36" s="221"/>
      <c r="AU36" s="221"/>
      <c r="AV36" s="337"/>
      <c r="AW36" s="221"/>
      <c r="AX36" s="349"/>
      <c r="AY36" s="349"/>
      <c r="AZ36" s="349"/>
      <c r="BA36" s="17"/>
      <c r="BB36" s="17"/>
      <c r="BC36" s="672"/>
    </row>
    <row r="37" spans="1:55" s="324" customFormat="1">
      <c r="A37" s="25" t="s">
        <v>430</v>
      </c>
      <c r="B37" s="221" t="s">
        <v>39</v>
      </c>
      <c r="C37" s="923">
        <f>Ts!N38</f>
        <v>1</v>
      </c>
      <c r="D37" s="332"/>
      <c r="E37"/>
      <c r="F37"/>
      <c r="G37" s="334"/>
      <c r="H37" s="327"/>
      <c r="I37" s="337"/>
      <c r="J37" s="337"/>
      <c r="K37" s="329"/>
      <c r="L37" s="329"/>
      <c r="O37" s="343"/>
      <c r="Q37" s="221"/>
      <c r="R37" s="221"/>
      <c r="S37" s="221"/>
      <c r="T37" s="221"/>
      <c r="U37" s="221"/>
      <c r="V37" s="221"/>
      <c r="W37" s="221"/>
      <c r="X37" s="221"/>
      <c r="Y37" s="221"/>
      <c r="Z37" s="221"/>
      <c r="AA37" s="221"/>
      <c r="AB37" s="343"/>
      <c r="AC37" s="221"/>
      <c r="AD37" s="221"/>
      <c r="AE37" s="221"/>
      <c r="AH37" s="221"/>
      <c r="AI37" s="221"/>
      <c r="AJ37" s="337"/>
      <c r="AK37" s="221"/>
      <c r="AL37" s="221"/>
      <c r="AM37" s="221"/>
      <c r="AN37" s="221"/>
      <c r="AO37" s="343"/>
      <c r="AP37" s="221"/>
      <c r="AQ37" s="221"/>
      <c r="AR37" s="221"/>
      <c r="AS37" s="221"/>
      <c r="AT37" s="221"/>
      <c r="AU37" s="221"/>
      <c r="AV37" s="337"/>
      <c r="AW37" s="221"/>
      <c r="AX37" s="349"/>
      <c r="AY37" s="349"/>
      <c r="AZ37" s="349"/>
      <c r="BA37" s="17"/>
      <c r="BB37" s="17"/>
      <c r="BC37" s="672"/>
    </row>
    <row r="38" spans="1:55" s="324" customFormat="1">
      <c r="A38" s="25" t="s">
        <v>431</v>
      </c>
      <c r="B38" s="221" t="s">
        <v>40</v>
      </c>
      <c r="C38" s="923">
        <f>Ts!N39</f>
        <v>1</v>
      </c>
      <c r="D38" s="332"/>
      <c r="E38"/>
      <c r="F38"/>
      <c r="G38" s="334"/>
      <c r="H38" s="327"/>
      <c r="I38" s="337"/>
      <c r="J38" s="337"/>
      <c r="K38" s="329"/>
      <c r="L38" s="329"/>
      <c r="O38" s="343"/>
      <c r="Q38" s="221"/>
      <c r="R38" s="221"/>
      <c r="S38" s="221"/>
      <c r="T38" s="221"/>
      <c r="U38" s="221"/>
      <c r="V38" s="221"/>
      <c r="W38" s="221"/>
      <c r="X38" s="221"/>
      <c r="Y38" s="221"/>
      <c r="Z38" s="221"/>
      <c r="AA38" s="221"/>
      <c r="AB38" s="343"/>
      <c r="AC38" s="221"/>
      <c r="AD38" s="221"/>
      <c r="AE38" s="221"/>
      <c r="AH38" s="221"/>
      <c r="AI38" s="221"/>
      <c r="AJ38" s="337"/>
      <c r="AK38" s="221"/>
      <c r="AL38" s="221"/>
      <c r="AM38" s="221"/>
      <c r="AN38" s="221"/>
      <c r="AO38" s="343"/>
      <c r="AP38" s="221"/>
      <c r="AQ38" s="221"/>
      <c r="AR38" s="221"/>
      <c r="AS38" s="221"/>
      <c r="AT38" s="221"/>
      <c r="AU38" s="221"/>
      <c r="AV38" s="337"/>
      <c r="AW38" s="221"/>
      <c r="AX38" s="349"/>
      <c r="AY38" s="349"/>
      <c r="AZ38" s="349"/>
      <c r="BA38" s="17"/>
      <c r="BB38" s="17"/>
      <c r="BC38" s="672"/>
    </row>
    <row r="39" spans="1:55" s="324" customFormat="1" ht="19.5" thickBot="1">
      <c r="A39" s="25" t="s">
        <v>471</v>
      </c>
      <c r="B39" s="221" t="s">
        <v>470</v>
      </c>
      <c r="C39" s="918">
        <v>1</v>
      </c>
      <c r="D39" s="332"/>
      <c r="E39"/>
      <c r="F39"/>
      <c r="G39" s="334"/>
      <c r="H39" s="327"/>
      <c r="I39" s="337"/>
      <c r="J39" s="337"/>
      <c r="K39" s="329"/>
      <c r="L39" s="329"/>
      <c r="O39" s="343"/>
      <c r="Q39" s="221"/>
      <c r="R39" s="221"/>
      <c r="S39" s="221"/>
      <c r="T39" s="221"/>
      <c r="U39" s="221"/>
      <c r="V39" s="221"/>
      <c r="W39" s="221"/>
      <c r="X39" s="221"/>
      <c r="Y39" s="221"/>
      <c r="Z39" s="221"/>
      <c r="AA39" s="221"/>
      <c r="AB39" s="343"/>
      <c r="AC39" s="221"/>
      <c r="AD39" s="221"/>
      <c r="AE39" s="221"/>
      <c r="AH39" s="221"/>
      <c r="AI39" s="221"/>
      <c r="AJ39" s="337"/>
      <c r="AK39" s="221"/>
      <c r="AL39" s="221"/>
      <c r="AM39" s="221"/>
      <c r="AN39" s="221"/>
      <c r="AO39" s="343"/>
      <c r="AP39" s="221"/>
      <c r="AQ39" s="221"/>
      <c r="AR39" s="221"/>
      <c r="AS39" s="221"/>
      <c r="AT39" s="221"/>
      <c r="AU39" s="221"/>
      <c r="AV39" s="337"/>
      <c r="AW39" s="221"/>
      <c r="AX39" s="349"/>
      <c r="AY39" s="349"/>
      <c r="AZ39" s="349"/>
      <c r="BA39" s="17"/>
      <c r="BB39" s="17"/>
      <c r="BC39" s="672"/>
    </row>
    <row r="40" spans="1:55">
      <c r="A40" s="919"/>
      <c r="B40" s="932" t="s">
        <v>223</v>
      </c>
      <c r="C40" s="338"/>
      <c r="D40" s="332"/>
      <c r="E40"/>
      <c r="F40"/>
      <c r="G40" s="334"/>
      <c r="H40" s="327"/>
      <c r="I40" s="337"/>
      <c r="J40" s="337"/>
      <c r="K40" s="330"/>
      <c r="L40" s="330"/>
      <c r="M40" s="324"/>
      <c r="N40" s="324"/>
      <c r="O40" s="343"/>
      <c r="AB40" s="343"/>
      <c r="AF40" s="324"/>
      <c r="AG40" s="324"/>
      <c r="AJ40" s="337"/>
      <c r="AO40" s="343"/>
      <c r="AV40" s="337"/>
      <c r="AX40" s="349"/>
      <c r="AY40" s="349"/>
      <c r="AZ40" s="349"/>
      <c r="BC40" s="672"/>
    </row>
    <row r="41" spans="1:55">
      <c r="A41" s="25" t="s">
        <v>463</v>
      </c>
      <c r="B41" s="221" t="s">
        <v>224</v>
      </c>
      <c r="C41" s="333"/>
      <c r="D41" s="332"/>
      <c r="E41"/>
      <c r="F41"/>
      <c r="G41" s="334"/>
      <c r="I41" s="337"/>
      <c r="J41" s="337"/>
      <c r="K41" s="327"/>
      <c r="L41" s="327"/>
      <c r="N41" s="324"/>
      <c r="O41" s="343"/>
      <c r="AB41" s="343"/>
      <c r="AF41" s="324"/>
      <c r="AG41" s="324"/>
      <c r="AJ41" s="337"/>
      <c r="AO41" s="343"/>
      <c r="AV41" s="337"/>
      <c r="AX41" s="349"/>
      <c r="AY41" s="349"/>
      <c r="AZ41" s="349"/>
      <c r="BC41" s="672"/>
    </row>
    <row r="42" spans="1:55">
      <c r="A42" s="25" t="s">
        <v>464</v>
      </c>
      <c r="B42" s="221" t="s">
        <v>229</v>
      </c>
      <c r="C42" s="333"/>
      <c r="D42" s="332"/>
      <c r="E42"/>
      <c r="F42"/>
      <c r="G42" s="334"/>
      <c r="I42" s="337"/>
      <c r="J42" s="337"/>
      <c r="K42" s="327"/>
      <c r="L42" s="327"/>
      <c r="O42" s="343"/>
      <c r="AB42" s="343"/>
      <c r="AF42" s="324"/>
      <c r="AG42" s="324"/>
      <c r="AJ42" s="337"/>
      <c r="AO42" s="343"/>
      <c r="AV42" s="337"/>
      <c r="AX42" s="349"/>
      <c r="AY42" s="349"/>
      <c r="AZ42" s="349"/>
      <c r="BC42" s="672"/>
    </row>
    <row r="43" spans="1:55">
      <c r="A43" s="25" t="s">
        <v>467</v>
      </c>
      <c r="B43" s="221" t="s">
        <v>226</v>
      </c>
      <c r="C43" s="333"/>
      <c r="D43" s="332"/>
      <c r="E43"/>
      <c r="F43"/>
      <c r="G43" s="334"/>
      <c r="I43" s="337"/>
      <c r="J43" s="337"/>
      <c r="O43" s="343"/>
      <c r="AB43" s="343"/>
      <c r="AJ43" s="337"/>
      <c r="AO43" s="343"/>
      <c r="AV43" s="337"/>
      <c r="AX43" s="349"/>
      <c r="AY43" s="349"/>
      <c r="AZ43" s="349"/>
      <c r="BC43" s="672"/>
    </row>
    <row r="44" spans="1:55">
      <c r="A44" s="25" t="s">
        <v>465</v>
      </c>
      <c r="B44" s="221" t="s">
        <v>225</v>
      </c>
      <c r="C44" s="333"/>
      <c r="D44" s="332"/>
      <c r="E44"/>
      <c r="F44"/>
      <c r="G44" s="334"/>
      <c r="I44" s="337"/>
      <c r="J44" s="337"/>
      <c r="O44" s="343"/>
      <c r="AB44" s="343"/>
      <c r="AJ44" s="337"/>
      <c r="AO44" s="343"/>
      <c r="AV44" s="337"/>
      <c r="AX44" s="349"/>
      <c r="AY44" s="349"/>
      <c r="AZ44" s="349"/>
      <c r="BC44" s="672"/>
    </row>
    <row r="45" spans="1:55">
      <c r="A45" s="25" t="s">
        <v>466</v>
      </c>
      <c r="B45" s="221" t="s">
        <v>228</v>
      </c>
      <c r="C45" s="333"/>
      <c r="D45" s="332"/>
      <c r="E45"/>
      <c r="F45"/>
      <c r="G45" s="334"/>
      <c r="I45" s="337"/>
      <c r="J45" s="337"/>
      <c r="O45" s="343"/>
      <c r="AB45" s="343"/>
      <c r="AJ45" s="337"/>
      <c r="AO45" s="343"/>
      <c r="AV45" s="337"/>
      <c r="AX45" s="349"/>
      <c r="AY45" s="349"/>
      <c r="AZ45" s="349"/>
      <c r="BC45" s="672"/>
    </row>
    <row r="46" spans="1:55">
      <c r="A46" s="25" t="s">
        <v>468</v>
      </c>
      <c r="B46" s="221" t="s">
        <v>227</v>
      </c>
      <c r="C46" s="333"/>
      <c r="D46" s="332"/>
      <c r="E46"/>
      <c r="F46"/>
      <c r="G46" s="334"/>
      <c r="I46" s="337"/>
      <c r="J46" s="337"/>
      <c r="O46" s="343"/>
      <c r="AB46" s="343"/>
      <c r="AJ46" s="337"/>
      <c r="AO46" s="343"/>
      <c r="AV46" s="337"/>
      <c r="AX46" s="349"/>
      <c r="AY46" s="349"/>
      <c r="AZ46" s="349"/>
      <c r="BC46" s="672"/>
    </row>
    <row r="47" spans="1:55">
      <c r="A47" s="25">
        <v>1</v>
      </c>
      <c r="B47" s="221" t="s">
        <v>217</v>
      </c>
      <c r="C47" s="333"/>
      <c r="D47" s="332"/>
      <c r="E47"/>
      <c r="F47"/>
      <c r="G47" s="334"/>
      <c r="I47" s="337"/>
      <c r="J47" s="337"/>
      <c r="O47" s="343"/>
      <c r="AB47" s="343"/>
      <c r="AJ47" s="337"/>
      <c r="AO47" s="343"/>
      <c r="AV47" s="337"/>
      <c r="AX47" s="349"/>
      <c r="AY47" s="349"/>
      <c r="AZ47" s="349"/>
      <c r="BC47" s="672"/>
    </row>
    <row r="48" spans="1:55">
      <c r="A48" s="25">
        <v>2</v>
      </c>
      <c r="B48" s="335" t="s">
        <v>218</v>
      </c>
      <c r="C48" s="333"/>
      <c r="D48" s="332"/>
      <c r="E48"/>
      <c r="F48"/>
      <c r="G48" s="334"/>
      <c r="I48" s="337"/>
      <c r="J48" s="337"/>
      <c r="O48" s="343"/>
      <c r="AB48" s="343"/>
      <c r="AJ48" s="337"/>
      <c r="AO48" s="343"/>
      <c r="AV48" s="337"/>
      <c r="AX48" s="349"/>
      <c r="AY48" s="349"/>
      <c r="AZ48" s="349"/>
      <c r="BC48" s="672"/>
    </row>
    <row r="49" spans="1:55">
      <c r="A49" s="25">
        <v>3</v>
      </c>
      <c r="B49" s="335" t="s">
        <v>219</v>
      </c>
      <c r="C49" s="333"/>
      <c r="D49" s="332"/>
      <c r="E49"/>
      <c r="F49"/>
      <c r="G49" s="334"/>
      <c r="I49" s="337"/>
      <c r="J49" s="337"/>
      <c r="O49" s="343"/>
      <c r="AB49" s="343"/>
      <c r="AJ49" s="337"/>
      <c r="AO49" s="343"/>
      <c r="AV49" s="337"/>
      <c r="BC49" s="672"/>
    </row>
    <row r="50" spans="1:55">
      <c r="A50" s="25">
        <v>4</v>
      </c>
      <c r="B50" s="335" t="s">
        <v>220</v>
      </c>
      <c r="C50" s="333"/>
      <c r="D50" s="332"/>
      <c r="E50"/>
      <c r="F50"/>
      <c r="G50" s="334"/>
      <c r="I50" s="337"/>
      <c r="J50" s="337"/>
      <c r="O50" s="343"/>
      <c r="AB50" s="343"/>
      <c r="AJ50" s="337"/>
      <c r="AO50" s="343"/>
      <c r="AV50" s="337"/>
      <c r="AY50" s="349"/>
      <c r="AZ50" s="349"/>
      <c r="BC50" s="349"/>
    </row>
    <row r="51" spans="1:55">
      <c r="A51" s="25">
        <v>5</v>
      </c>
      <c r="B51" s="335" t="s">
        <v>221</v>
      </c>
      <c r="C51" s="333"/>
      <c r="D51" s="332"/>
      <c r="E51" s="343"/>
      <c r="F51" s="334"/>
      <c r="G51" s="334"/>
      <c r="I51" s="337"/>
      <c r="J51" s="337"/>
      <c r="O51" s="343"/>
      <c r="AB51" s="343"/>
      <c r="AJ51" s="337"/>
      <c r="AO51" s="343"/>
      <c r="AV51" s="337"/>
      <c r="BC51" s="672"/>
    </row>
    <row r="52" spans="1:55">
      <c r="A52" s="25">
        <v>6</v>
      </c>
      <c r="B52" s="336" t="s">
        <v>412</v>
      </c>
      <c r="C52" s="333"/>
      <c r="D52" s="332"/>
      <c r="E52" s="343"/>
      <c r="F52" s="334"/>
      <c r="G52" s="334"/>
      <c r="I52" s="337"/>
      <c r="J52" s="337"/>
      <c r="O52" s="343"/>
      <c r="AB52" s="343"/>
      <c r="AJ52" s="337"/>
      <c r="AO52" s="343"/>
      <c r="AV52" s="337"/>
      <c r="BC52" s="672"/>
    </row>
    <row r="53" spans="1:55">
      <c r="A53" s="25">
        <v>7</v>
      </c>
      <c r="B53" s="335" t="s">
        <v>222</v>
      </c>
      <c r="C53" s="333"/>
      <c r="D53" s="332"/>
      <c r="E53" s="343"/>
      <c r="F53" s="334"/>
      <c r="G53" s="334"/>
      <c r="I53" s="337"/>
      <c r="J53" s="337"/>
      <c r="O53" s="343"/>
      <c r="AB53" s="343"/>
      <c r="AJ53" s="337"/>
      <c r="AO53" s="343"/>
      <c r="AV53" s="337"/>
      <c r="BC53" s="672"/>
    </row>
    <row r="54" spans="1:55" ht="39">
      <c r="A54" s="25">
        <v>8</v>
      </c>
      <c r="B54" s="335" t="s">
        <v>413</v>
      </c>
      <c r="C54" s="333"/>
      <c r="D54" s="332"/>
      <c r="E54" s="343"/>
      <c r="F54" s="334"/>
      <c r="G54" s="334"/>
      <c r="I54" s="337"/>
      <c r="J54" s="337"/>
      <c r="O54" s="343"/>
      <c r="AB54" s="343"/>
      <c r="AJ54" s="337"/>
      <c r="AO54" s="343"/>
      <c r="AV54" s="337"/>
      <c r="BC54" s="672"/>
    </row>
    <row r="55" spans="1:55" ht="20.25">
      <c r="A55" s="25">
        <v>9</v>
      </c>
      <c r="B55" s="335" t="s">
        <v>414</v>
      </c>
      <c r="C55" s="333"/>
      <c r="D55" s="332"/>
      <c r="E55" s="343"/>
      <c r="F55" s="334"/>
      <c r="G55" s="334"/>
      <c r="I55" s="337"/>
      <c r="J55" s="337"/>
      <c r="O55" s="343"/>
      <c r="AB55" s="343"/>
      <c r="AJ55" s="337"/>
      <c r="AO55" s="343"/>
      <c r="AV55" s="337"/>
      <c r="BC55" s="672"/>
    </row>
    <row r="56" spans="1:55">
      <c r="A56" s="25">
        <v>10</v>
      </c>
      <c r="B56" s="335" t="s">
        <v>232</v>
      </c>
      <c r="C56" s="333"/>
      <c r="D56" s="332"/>
      <c r="E56" s="343"/>
      <c r="F56" s="334"/>
      <c r="G56" s="334"/>
      <c r="I56" s="337"/>
      <c r="J56" s="337"/>
      <c r="O56" s="343"/>
      <c r="AB56" s="343"/>
      <c r="AJ56" s="337"/>
      <c r="AO56" s="343"/>
      <c r="AV56" s="337"/>
      <c r="BC56" s="672"/>
    </row>
    <row r="57" spans="1:55">
      <c r="A57" s="25"/>
      <c r="B57" s="335"/>
      <c r="C57" s="333"/>
      <c r="D57" s="332"/>
      <c r="E57" s="343"/>
      <c r="F57" s="334"/>
      <c r="I57" s="337"/>
      <c r="J57" s="337"/>
      <c r="O57" s="343"/>
      <c r="AB57" s="343"/>
      <c r="AJ57" s="337"/>
      <c r="AO57" s="343"/>
      <c r="AV57" s="337"/>
      <c r="BC57" s="672"/>
    </row>
    <row r="58" spans="1:55">
      <c r="A58" s="25">
        <v>11</v>
      </c>
      <c r="B58" s="335" t="s">
        <v>26</v>
      </c>
      <c r="C58" s="333"/>
      <c r="D58" s="332"/>
      <c r="E58" s="343"/>
      <c r="F58" s="334"/>
      <c r="I58" s="337"/>
      <c r="J58" s="337"/>
      <c r="O58" s="343"/>
      <c r="AB58" s="343"/>
      <c r="AJ58" s="337"/>
      <c r="AO58" s="343"/>
      <c r="AV58" s="337"/>
      <c r="BC58" s="672"/>
    </row>
    <row r="59" spans="1:55" ht="37.5">
      <c r="A59" s="25">
        <v>12</v>
      </c>
      <c r="B59" s="335" t="s">
        <v>28</v>
      </c>
      <c r="C59" s="333"/>
      <c r="D59" s="332"/>
      <c r="E59" s="343"/>
      <c r="I59" s="337"/>
      <c r="J59" s="337"/>
      <c r="O59" s="343"/>
      <c r="AB59" s="343"/>
      <c r="AJ59" s="337"/>
      <c r="AO59" s="343"/>
      <c r="AV59" s="337"/>
      <c r="AY59" s="349"/>
      <c r="AZ59" s="349"/>
      <c r="BC59" s="349"/>
    </row>
    <row r="60" spans="1:55">
      <c r="A60" s="25">
        <v>13</v>
      </c>
      <c r="B60" s="335" t="s">
        <v>22</v>
      </c>
      <c r="C60" s="333"/>
      <c r="D60" s="332"/>
      <c r="E60" s="343"/>
      <c r="I60" s="337"/>
      <c r="J60" s="337"/>
      <c r="O60" s="343"/>
      <c r="AB60" s="343"/>
      <c r="AJ60" s="337"/>
      <c r="AO60" s="343"/>
      <c r="AV60" s="337"/>
      <c r="BC60" s="672"/>
    </row>
    <row r="61" spans="1:55">
      <c r="A61" s="25">
        <v>14</v>
      </c>
      <c r="B61" s="335" t="s">
        <v>21</v>
      </c>
      <c r="C61" s="333"/>
      <c r="D61" s="332"/>
      <c r="E61" s="343"/>
      <c r="I61" s="337"/>
      <c r="J61" s="337"/>
      <c r="O61" s="343"/>
      <c r="AB61" s="343"/>
      <c r="AJ61" s="337"/>
      <c r="AO61" s="343"/>
      <c r="AV61" s="337"/>
      <c r="AY61" s="349"/>
      <c r="AZ61" s="349"/>
      <c r="BC61" s="349"/>
    </row>
    <row r="62" spans="1:55">
      <c r="A62" s="25">
        <v>15</v>
      </c>
      <c r="B62" s="335" t="s">
        <v>4</v>
      </c>
      <c r="C62" s="333"/>
      <c r="D62" s="332"/>
      <c r="E62" s="343"/>
      <c r="I62" s="337"/>
      <c r="J62" s="337"/>
      <c r="O62" s="343"/>
      <c r="AB62" s="343"/>
      <c r="AJ62" s="337"/>
      <c r="AO62" s="343"/>
      <c r="AV62" s="337"/>
      <c r="BC62" s="672"/>
    </row>
    <row r="63" spans="1:55">
      <c r="A63" s="25">
        <v>16</v>
      </c>
      <c r="B63" s="335" t="s">
        <v>29</v>
      </c>
      <c r="C63" s="333"/>
      <c r="D63" s="332"/>
      <c r="E63" s="343"/>
      <c r="I63" s="337"/>
      <c r="J63" s="337"/>
      <c r="O63" s="343"/>
      <c r="AB63" s="343"/>
      <c r="AJ63" s="337"/>
      <c r="AO63" s="343"/>
      <c r="AV63" s="337"/>
      <c r="BC63" s="672"/>
    </row>
    <row r="64" spans="1:55" ht="20.25">
      <c r="A64" s="25">
        <v>17</v>
      </c>
      <c r="B64" s="335" t="s">
        <v>415</v>
      </c>
      <c r="C64" s="333"/>
      <c r="D64" s="332"/>
      <c r="E64" s="343"/>
      <c r="I64" s="337"/>
      <c r="J64" s="337"/>
      <c r="O64" s="343"/>
      <c r="AB64" s="343"/>
      <c r="AJ64" s="337"/>
      <c r="AO64" s="343"/>
      <c r="AV64" s="337"/>
      <c r="BC64" s="672"/>
    </row>
    <row r="65" spans="1:55">
      <c r="A65" s="25">
        <v>18</v>
      </c>
      <c r="B65" s="335" t="s">
        <v>23</v>
      </c>
      <c r="C65" s="333"/>
      <c r="D65" s="332"/>
      <c r="E65" s="343"/>
      <c r="I65" s="337"/>
      <c r="J65" s="337"/>
      <c r="O65" s="343"/>
      <c r="AB65" s="343"/>
      <c r="AJ65" s="337"/>
      <c r="AO65" s="343"/>
      <c r="AV65" s="337"/>
      <c r="BC65" s="672"/>
    </row>
    <row r="66" spans="1:55">
      <c r="A66" s="25">
        <v>19</v>
      </c>
      <c r="B66" s="335" t="s">
        <v>24</v>
      </c>
      <c r="C66" s="333"/>
      <c r="D66" s="332"/>
      <c r="E66" s="343"/>
      <c r="I66" s="337"/>
      <c r="J66" s="337"/>
      <c r="O66" s="343"/>
      <c r="AB66" s="343"/>
      <c r="AJ66" s="337"/>
      <c r="AO66" s="343"/>
      <c r="AV66" s="337"/>
      <c r="BC66" s="672"/>
    </row>
    <row r="67" spans="1:55">
      <c r="A67" s="25">
        <v>20</v>
      </c>
      <c r="B67" s="335" t="s">
        <v>25</v>
      </c>
      <c r="C67" s="333"/>
      <c r="D67" s="332"/>
      <c r="E67" s="343"/>
      <c r="I67" s="337"/>
      <c r="J67" s="337"/>
      <c r="O67" s="343"/>
      <c r="AB67" s="343"/>
      <c r="AJ67" s="337"/>
      <c r="AO67" s="343"/>
      <c r="AV67" s="337"/>
      <c r="BC67" s="672"/>
    </row>
    <row r="68" spans="1:55">
      <c r="A68" s="920"/>
      <c r="B68" s="933" t="s">
        <v>416</v>
      </c>
      <c r="C68" s="346"/>
      <c r="D68" s="332"/>
      <c r="E68" s="343"/>
      <c r="I68" s="337"/>
      <c r="J68" s="337"/>
      <c r="O68" s="343"/>
      <c r="AB68" s="343"/>
      <c r="AJ68" s="337"/>
      <c r="AO68" s="343"/>
      <c r="AV68" s="337"/>
    </row>
    <row r="69" spans="1:55">
      <c r="A69" s="25">
        <v>1</v>
      </c>
      <c r="B69" s="335" t="s">
        <v>417</v>
      </c>
      <c r="C69" s="337" t="s">
        <v>230</v>
      </c>
      <c r="D69" s="332"/>
      <c r="E69" s="343"/>
      <c r="I69" s="337"/>
      <c r="J69" s="337"/>
      <c r="O69" s="343"/>
      <c r="AB69" s="343"/>
      <c r="AJ69" s="337"/>
      <c r="AO69" s="343"/>
      <c r="AV69" s="337"/>
    </row>
    <row r="70" spans="1:55">
      <c r="A70" s="25">
        <v>2</v>
      </c>
      <c r="B70" s="335" t="s">
        <v>418</v>
      </c>
      <c r="C70" s="337" t="s">
        <v>231</v>
      </c>
      <c r="D70" s="332"/>
      <c r="E70" s="343"/>
      <c r="I70" s="337"/>
      <c r="J70" s="337"/>
      <c r="O70" s="343"/>
      <c r="AB70" s="343"/>
      <c r="AJ70" s="337"/>
      <c r="AO70" s="343"/>
      <c r="AV70" s="337"/>
    </row>
    <row r="71" spans="1:55">
      <c r="A71" s="25">
        <v>3</v>
      </c>
      <c r="B71" s="335" t="s">
        <v>423</v>
      </c>
      <c r="C71" s="337" t="s">
        <v>183</v>
      </c>
      <c r="D71" s="332"/>
      <c r="E71" s="343"/>
      <c r="I71" s="337"/>
      <c r="J71" s="337"/>
      <c r="O71" s="343"/>
      <c r="AB71" s="343"/>
      <c r="AJ71" s="337"/>
      <c r="AO71" s="343"/>
      <c r="AV71" s="337"/>
    </row>
    <row r="72" spans="1:55" ht="37.5">
      <c r="A72" s="25">
        <v>4</v>
      </c>
      <c r="B72" s="335" t="s">
        <v>422</v>
      </c>
      <c r="C72" s="337" t="s">
        <v>30</v>
      </c>
      <c r="D72" s="332"/>
      <c r="E72" s="343"/>
      <c r="I72" s="337"/>
      <c r="J72" s="337"/>
      <c r="O72" s="343"/>
      <c r="AB72" s="343"/>
      <c r="AJ72" s="337"/>
      <c r="AO72" s="343"/>
      <c r="AV72" s="337"/>
    </row>
    <row r="73" spans="1:55">
      <c r="A73" s="25">
        <v>5</v>
      </c>
      <c r="B73" s="335" t="s">
        <v>419</v>
      </c>
      <c r="C73" s="337" t="s">
        <v>250</v>
      </c>
      <c r="D73" s="332"/>
      <c r="E73" s="343"/>
      <c r="I73" s="337"/>
      <c r="J73" s="337"/>
      <c r="O73" s="343"/>
      <c r="AB73" s="343"/>
      <c r="AJ73" s="337"/>
      <c r="AO73" s="343"/>
      <c r="AV73" s="337"/>
    </row>
    <row r="74" spans="1:55">
      <c r="A74" s="25">
        <v>6</v>
      </c>
      <c r="B74" s="335" t="s">
        <v>420</v>
      </c>
      <c r="C74" s="337" t="s">
        <v>249</v>
      </c>
      <c r="D74" s="332"/>
      <c r="E74" s="343"/>
      <c r="I74" s="337"/>
      <c r="J74" s="337"/>
      <c r="O74" s="343"/>
      <c r="AB74" s="343"/>
      <c r="AJ74" s="337"/>
      <c r="AO74" s="343"/>
      <c r="AV74" s="337"/>
    </row>
    <row r="75" spans="1:55">
      <c r="A75" s="25">
        <v>7</v>
      </c>
      <c r="B75" s="335" t="s">
        <v>421</v>
      </c>
      <c r="C75" s="337" t="s">
        <v>140</v>
      </c>
      <c r="D75" s="332"/>
      <c r="E75" s="343"/>
      <c r="I75" s="337"/>
      <c r="J75" s="337"/>
      <c r="O75" s="343"/>
      <c r="AB75" s="343"/>
      <c r="AJ75" s="337"/>
      <c r="AO75" s="343"/>
      <c r="AV75" s="337"/>
    </row>
    <row r="76" spans="1:55">
      <c r="A76" s="25"/>
      <c r="C76" s="337"/>
      <c r="D76" s="332"/>
      <c r="E76" s="343"/>
      <c r="I76" s="337"/>
      <c r="J76" s="337"/>
      <c r="O76" s="343"/>
      <c r="AB76" s="343"/>
      <c r="AJ76" s="337"/>
      <c r="AO76" s="343"/>
      <c r="AV76" s="337"/>
    </row>
    <row r="77" spans="1:55">
      <c r="A77" s="911"/>
      <c r="B77" s="395" t="s">
        <v>469</v>
      </c>
      <c r="C77" s="426"/>
      <c r="D77" s="332"/>
      <c r="E77" s="343"/>
      <c r="I77" s="337"/>
      <c r="J77" s="337"/>
      <c r="O77" s="343"/>
      <c r="AB77" s="343"/>
      <c r="AJ77" s="337"/>
      <c r="AO77" s="343"/>
      <c r="AV77" s="337"/>
    </row>
    <row r="78" spans="1:55">
      <c r="A78" s="921"/>
      <c r="B78" s="331"/>
      <c r="C78" s="331"/>
      <c r="D78" s="332"/>
      <c r="E78" s="343"/>
      <c r="I78" s="337"/>
      <c r="J78" s="337"/>
      <c r="O78" s="343"/>
      <c r="AB78" s="343"/>
      <c r="AJ78" s="337"/>
      <c r="AO78" s="343"/>
      <c r="AV78" s="337"/>
    </row>
    <row r="79" spans="1:55">
      <c r="A79" s="945" t="s">
        <v>472</v>
      </c>
      <c r="B79" s="946" t="s">
        <v>475</v>
      </c>
      <c r="C79" s="947">
        <v>1</v>
      </c>
      <c r="D79" s="332"/>
      <c r="E79" s="343"/>
      <c r="I79" s="337"/>
      <c r="J79" s="337"/>
      <c r="O79" s="343"/>
      <c r="AB79" s="343"/>
      <c r="AJ79" s="337"/>
      <c r="AO79" s="343"/>
      <c r="AV79" s="337"/>
    </row>
    <row r="80" spans="1:55">
      <c r="A80" s="945" t="s">
        <v>473</v>
      </c>
      <c r="B80" s="946" t="s">
        <v>474</v>
      </c>
      <c r="C80" s="947">
        <v>0</v>
      </c>
      <c r="D80" s="332"/>
      <c r="E80" s="343"/>
      <c r="I80" s="337"/>
      <c r="J80" s="337"/>
      <c r="O80" s="343"/>
      <c r="AB80" s="343"/>
      <c r="AJ80" s="337"/>
      <c r="AO80" s="343"/>
      <c r="AV80" s="337"/>
    </row>
    <row r="81" spans="1:48">
      <c r="A81" s="945" t="s">
        <v>476</v>
      </c>
      <c r="B81" s="946" t="s">
        <v>477</v>
      </c>
      <c r="C81" s="947">
        <v>0</v>
      </c>
      <c r="D81" s="332"/>
      <c r="E81" s="343"/>
      <c r="I81" s="337"/>
      <c r="J81" s="337"/>
      <c r="O81" s="343"/>
      <c r="AB81" s="343"/>
      <c r="AJ81" s="337"/>
      <c r="AO81" s="343"/>
      <c r="AV81" s="337"/>
    </row>
    <row r="82" spans="1:48">
      <c r="A82" s="945" t="s">
        <v>482</v>
      </c>
      <c r="B82" s="948"/>
      <c r="C82" s="949">
        <v>3</v>
      </c>
      <c r="D82" s="332"/>
      <c r="E82" s="343"/>
      <c r="I82" s="337"/>
      <c r="J82" s="337"/>
      <c r="O82" s="343"/>
      <c r="AB82" s="343"/>
      <c r="AJ82" s="337"/>
      <c r="AO82" s="343"/>
      <c r="AV82" s="337"/>
    </row>
    <row r="83" spans="1:48">
      <c r="A83" s="945" t="s">
        <v>483</v>
      </c>
      <c r="B83" s="948"/>
      <c r="C83" s="949"/>
      <c r="D83" s="332"/>
      <c r="E83" s="343"/>
      <c r="I83" s="337"/>
      <c r="J83" s="337"/>
      <c r="O83" s="343"/>
      <c r="AB83" s="343"/>
      <c r="AJ83" s="337"/>
      <c r="AO83" s="343"/>
      <c r="AV83" s="337"/>
    </row>
    <row r="84" spans="1:48">
      <c r="A84" s="945" t="s">
        <v>484</v>
      </c>
      <c r="B84" s="948"/>
      <c r="C84" s="949">
        <v>0</v>
      </c>
      <c r="D84" s="332"/>
      <c r="E84" s="343"/>
      <c r="I84" s="337"/>
      <c r="J84" s="337"/>
      <c r="O84" s="343"/>
      <c r="AB84" s="343"/>
      <c r="AJ84" s="337"/>
      <c r="AO84" s="343"/>
      <c r="AV84" s="337"/>
    </row>
    <row r="85" spans="1:48">
      <c r="A85" s="945" t="s">
        <v>485</v>
      </c>
      <c r="B85" s="948"/>
      <c r="C85" s="948" t="s">
        <v>481</v>
      </c>
      <c r="D85" s="332"/>
      <c r="E85" s="343"/>
      <c r="I85" s="337"/>
      <c r="J85" s="337"/>
      <c r="O85" s="343"/>
      <c r="AB85" s="343"/>
      <c r="AJ85" s="337"/>
      <c r="AO85" s="343"/>
      <c r="AV85" s="337"/>
    </row>
    <row r="86" spans="1:48">
      <c r="A86" s="945" t="s">
        <v>486</v>
      </c>
      <c r="B86" s="948"/>
      <c r="C86" s="948" t="s">
        <v>487</v>
      </c>
      <c r="D86" s="332"/>
      <c r="E86" s="343"/>
      <c r="I86" s="337"/>
      <c r="J86" s="337"/>
      <c r="O86" s="343"/>
      <c r="AB86" s="343"/>
      <c r="AJ86" s="337"/>
      <c r="AO86" s="343"/>
      <c r="AV86" s="337"/>
    </row>
    <row r="87" spans="1:48">
      <c r="A87" s="922"/>
      <c r="B87" s="582"/>
      <c r="C87" s="950" t="s">
        <v>497</v>
      </c>
      <c r="D87" s="332"/>
      <c r="E87" s="343"/>
      <c r="I87" s="337"/>
      <c r="J87" s="337"/>
      <c r="O87" s="343"/>
      <c r="AB87" s="343"/>
      <c r="AJ87" s="337"/>
      <c r="AO87" s="343"/>
      <c r="AV87" s="337"/>
    </row>
    <row r="88" spans="1:48">
      <c r="A88" s="911" t="s">
        <v>519</v>
      </c>
      <c r="B88" s="395"/>
      <c r="C88" s="395"/>
      <c r="D88" s="332"/>
      <c r="E88" s="343"/>
      <c r="I88" s="337"/>
      <c r="J88" s="337"/>
      <c r="O88" s="343"/>
      <c r="AB88" s="343"/>
      <c r="AJ88" s="337"/>
      <c r="AO88" s="343"/>
      <c r="AV88" s="337"/>
    </row>
    <row r="89" spans="1:48">
      <c r="A89" s="580" t="s">
        <v>520</v>
      </c>
      <c r="B89" s="331"/>
      <c r="C89" s="331">
        <v>1</v>
      </c>
      <c r="D89" s="332">
        <v>2</v>
      </c>
      <c r="E89" s="343"/>
      <c r="I89" s="337"/>
      <c r="J89" s="337"/>
      <c r="O89" s="343"/>
      <c r="AB89" s="343"/>
      <c r="AJ89" s="337"/>
      <c r="AO89" s="343"/>
      <c r="AV89" s="337"/>
    </row>
    <row r="90" spans="1:48">
      <c r="A90" s="581"/>
      <c r="B90" s="582"/>
      <c r="C90" s="582">
        <v>1</v>
      </c>
      <c r="D90" s="332"/>
      <c r="E90" s="343"/>
      <c r="I90" s="337"/>
      <c r="J90" s="337"/>
      <c r="O90" s="343"/>
      <c r="AB90" s="343"/>
      <c r="AJ90" s="337"/>
      <c r="AO90" s="343"/>
      <c r="AV90" s="337"/>
    </row>
    <row r="91" spans="1:48">
      <c r="A91" s="580" t="s">
        <v>532</v>
      </c>
      <c r="B91" s="331"/>
      <c r="C91" s="331">
        <v>1</v>
      </c>
      <c r="D91" s="332"/>
      <c r="E91" s="343"/>
      <c r="I91" s="337"/>
      <c r="J91" s="337"/>
      <c r="O91" s="343"/>
      <c r="AB91" s="343"/>
      <c r="AJ91" s="337"/>
      <c r="AO91" s="343"/>
      <c r="AV91" s="337"/>
    </row>
    <row r="92" spans="1:48">
      <c r="A92" s="922"/>
      <c r="B92" s="582"/>
      <c r="C92" s="582">
        <v>1</v>
      </c>
      <c r="D92" s="332"/>
      <c r="E92" s="343"/>
      <c r="I92" s="337"/>
      <c r="J92" s="337"/>
      <c r="O92" s="343"/>
      <c r="AB92" s="343"/>
      <c r="AJ92" s="337"/>
      <c r="AO92" s="343"/>
      <c r="AV92" s="337"/>
    </row>
    <row r="93" spans="1:48">
      <c r="A93" s="921"/>
      <c r="B93" s="331"/>
      <c r="C93" s="331" t="s">
        <v>449</v>
      </c>
      <c r="D93" s="332"/>
      <c r="E93" s="343"/>
      <c r="I93" s="337"/>
      <c r="J93" s="337"/>
      <c r="O93" s="343"/>
      <c r="AB93" s="343"/>
      <c r="AJ93" s="337"/>
      <c r="AO93" s="343"/>
      <c r="AV93" s="337"/>
    </row>
    <row r="94" spans="1:48">
      <c r="A94" s="951"/>
      <c r="B94" s="946"/>
      <c r="C94" s="946" t="s">
        <v>593</v>
      </c>
      <c r="D94" s="332"/>
      <c r="E94" s="343"/>
      <c r="I94" s="337"/>
      <c r="J94" s="337"/>
      <c r="O94" s="343"/>
      <c r="AB94" s="343"/>
      <c r="AJ94" s="337"/>
      <c r="AO94" s="343"/>
      <c r="AV94" s="337"/>
    </row>
    <row r="95" spans="1:48">
      <c r="A95" s="945" t="s">
        <v>599</v>
      </c>
      <c r="B95" s="948" t="s">
        <v>598</v>
      </c>
      <c r="C95" s="946">
        <v>1</v>
      </c>
      <c r="D95" s="332"/>
      <c r="E95" s="343"/>
      <c r="I95" s="337"/>
      <c r="J95" s="337"/>
      <c r="O95" s="343"/>
      <c r="AB95" s="343"/>
      <c r="AJ95" s="337"/>
      <c r="AO95" s="343"/>
      <c r="AV95" s="337"/>
    </row>
    <row r="96" spans="1:48">
      <c r="A96" s="945" t="s">
        <v>599</v>
      </c>
      <c r="B96" s="948" t="s">
        <v>600</v>
      </c>
      <c r="C96" s="946">
        <v>1</v>
      </c>
      <c r="D96" s="332"/>
      <c r="E96" s="343"/>
      <c r="I96" s="337"/>
      <c r="J96" s="337"/>
      <c r="O96" s="343"/>
      <c r="AB96" s="343"/>
      <c r="AJ96" s="337"/>
      <c r="AO96" s="343"/>
      <c r="AV96" s="337"/>
    </row>
    <row r="97" spans="1:48">
      <c r="A97" s="945" t="s">
        <v>602</v>
      </c>
      <c r="B97" s="948"/>
      <c r="C97" s="946" t="s">
        <v>601</v>
      </c>
      <c r="D97" s="332"/>
      <c r="E97" s="343"/>
      <c r="I97" s="337"/>
      <c r="J97" s="337"/>
      <c r="O97" s="343"/>
      <c r="AB97" s="343"/>
      <c r="AJ97" s="337"/>
      <c r="AO97" s="343"/>
      <c r="AV97" s="337"/>
    </row>
    <row r="98" spans="1:48">
      <c r="A98" s="945" t="s">
        <v>345</v>
      </c>
      <c r="B98" s="948" t="s">
        <v>607</v>
      </c>
      <c r="C98" s="946" t="s">
        <v>608</v>
      </c>
      <c r="D98" s="332"/>
      <c r="E98" s="343"/>
      <c r="I98" s="337"/>
      <c r="J98" s="337"/>
      <c r="O98" s="343"/>
      <c r="AB98" s="343"/>
      <c r="AJ98" s="337"/>
      <c r="AO98" s="343"/>
      <c r="AV98" s="337"/>
    </row>
    <row r="99" spans="1:48">
      <c r="A99" s="945" t="s">
        <v>609</v>
      </c>
      <c r="B99" s="948" t="s">
        <v>580</v>
      </c>
      <c r="C99" s="946"/>
      <c r="D99" s="332"/>
      <c r="E99" s="343"/>
      <c r="I99" s="337"/>
      <c r="J99" s="337"/>
      <c r="O99" s="343"/>
      <c r="AB99" s="343"/>
      <c r="AJ99" s="337"/>
      <c r="AO99" s="343"/>
      <c r="AV99" s="337"/>
    </row>
    <row r="100" spans="1:48">
      <c r="A100" s="945" t="s">
        <v>613</v>
      </c>
      <c r="B100" s="948" t="s">
        <v>614</v>
      </c>
      <c r="C100" s="946">
        <v>0</v>
      </c>
      <c r="D100" s="332"/>
      <c r="E100" s="343"/>
      <c r="I100" s="337"/>
      <c r="J100" s="337"/>
      <c r="O100" s="343"/>
      <c r="AB100" s="343"/>
      <c r="AJ100" s="337"/>
      <c r="AO100" s="343"/>
      <c r="AV100" s="337"/>
    </row>
    <row r="101" spans="1:48">
      <c r="A101" s="581" t="s">
        <v>621</v>
      </c>
      <c r="B101" s="950" t="s">
        <v>620</v>
      </c>
      <c r="C101" s="582">
        <v>0</v>
      </c>
      <c r="D101" s="332"/>
      <c r="E101" s="343"/>
      <c r="I101" s="337"/>
      <c r="J101" s="337"/>
      <c r="O101" s="343"/>
      <c r="AB101" s="343"/>
      <c r="AJ101" s="337"/>
      <c r="AO101" s="343"/>
      <c r="AV101" s="337"/>
    </row>
    <row r="102" spans="1:48">
      <c r="C102" s="221">
        <v>0</v>
      </c>
      <c r="AB102" s="343"/>
      <c r="AJ102" s="337"/>
      <c r="AO102" s="343"/>
      <c r="AV102" s="337"/>
    </row>
    <row r="103" spans="1:48">
      <c r="A103" s="318" t="s">
        <v>663</v>
      </c>
      <c r="C103" s="221">
        <v>0</v>
      </c>
    </row>
    <row r="104" spans="1:48">
      <c r="A104" s="318" t="s">
        <v>664</v>
      </c>
      <c r="C104" s="221">
        <v>4</v>
      </c>
    </row>
    <row r="105" spans="1:48">
      <c r="A105" s="318" t="s">
        <v>665</v>
      </c>
      <c r="C105" s="221">
        <v>1</v>
      </c>
    </row>
    <row r="106" spans="1:48">
      <c r="A106" s="318" t="s">
        <v>666</v>
      </c>
      <c r="C106" s="221">
        <v>1</v>
      </c>
    </row>
    <row r="107" spans="1:48">
      <c r="A107" s="318" t="s">
        <v>1330</v>
      </c>
      <c r="C107" s="221">
        <v>1</v>
      </c>
    </row>
    <row r="109" spans="1:48">
      <c r="A109" s="318" t="s">
        <v>667</v>
      </c>
      <c r="B109" s="645" t="s">
        <v>668</v>
      </c>
      <c r="C109" s="221">
        <v>0</v>
      </c>
    </row>
    <row r="110" spans="1:48">
      <c r="B110" s="221" t="s">
        <v>2030</v>
      </c>
      <c r="C110" s="221">
        <v>1</v>
      </c>
    </row>
    <row r="111" spans="1:48">
      <c r="B111" s="221" t="s">
        <v>2031</v>
      </c>
      <c r="C111" s="221">
        <v>1</v>
      </c>
    </row>
    <row r="112" spans="1:48">
      <c r="B112" s="221" t="s">
        <v>2032</v>
      </c>
      <c r="C112" s="221">
        <v>1</v>
      </c>
    </row>
    <row r="115" spans="2:3">
      <c r="C115" s="221">
        <v>-1</v>
      </c>
    </row>
    <row r="116" spans="2:3">
      <c r="B116" s="221" t="s">
        <v>2033</v>
      </c>
      <c r="C116" s="221">
        <v>1</v>
      </c>
    </row>
    <row r="117" spans="2:3">
      <c r="C117" s="221">
        <v>0</v>
      </c>
    </row>
    <row r="118" spans="2:3">
      <c r="C118" s="221">
        <v>1</v>
      </c>
    </row>
    <row r="122" spans="2:3">
      <c r="B122" s="221" t="s">
        <v>1637</v>
      </c>
      <c r="C122" s="221">
        <v>0</v>
      </c>
    </row>
  </sheetData>
  <dataValidations count="5">
    <dataValidation allowBlank="1" showInputMessage="1" showErrorMessage="1" prompt="Khi cần làm bảng dự toán tiếng Anh hoặc song ngữ thì chỉnh sửa phần này trước. Khi chạy phần mềm những nơi hiển thị các thuật ngữ này sẽ được chỉnh sửa theo." sqref="B62:B64 B69:C75 B41:B57"/>
    <dataValidation allowBlank="1" showInputMessage="1" showErrorMessage="1" prompt="Số liệu ở đây sẽ cho phép tra cứu khi tính cước vận chuyển VLHT._x000a_Có thể thay đổi cho phù hợp với địa phương. Khi đó mở file template, sửa và lưu lại để sử dụng cho lần sau." sqref="AC5:AE10"/>
    <dataValidation allowBlank="1" showInputMessage="1" showErrorMessage="1" prompt="1 là chọn, 0 là bỏ chọn." sqref="C1:C2"/>
    <dataValidation allowBlank="1" showInputMessage="1" showErrorMessage="1" prompt="Định mức tỷ lệ chi phí chung tính trên chi phí nhân công." sqref="AK1:AN2"/>
    <dataValidation allowBlank="1" showInputMessage="1" showErrorMessage="1" promptTitle="Cách xác định đơn giá nhân công" prompt="Theo thông tư 13" sqref="D2"/>
  </dataValidations>
  <printOptions horizontalCentered="1"/>
  <pageMargins left="0.70866141732283472" right="0.31496062992125984" top="0.74803149606299213" bottom="0.74803149606299213" header="0.31496062992125984" footer="0.31496062992125984"/>
  <pageSetup paperSize="9" scale="79" orientation="portrait" horizontalDpi="300" verticalDpi="300" r:id="rId1"/>
  <headerFooter>
    <oddHeader>&amp;L&amp;"+,Regular"&amp;10Dự toán GXD - www.giaxaydung.vn</oddHeader>
    <oddFooter>&amp;C&amp;P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Data">
    <tabColor rgb="FF7030A0"/>
  </sheetPr>
  <dimension ref="A1:L47"/>
  <sheetViews>
    <sheetView workbookViewId="0">
      <selection activeCell="B6" sqref="B6"/>
    </sheetView>
  </sheetViews>
  <sheetFormatPr defaultColWidth="9.140625" defaultRowHeight="15"/>
  <cols>
    <col min="1" max="1" width="5.140625" style="283" bestFit="1" customWidth="1"/>
    <col min="2" max="2" width="26.42578125" style="267" bestFit="1" customWidth="1"/>
    <col min="3" max="3" width="30.42578125" style="267" bestFit="1" customWidth="1"/>
    <col min="4" max="4" width="38.5703125" style="267" bestFit="1" customWidth="1"/>
    <col min="5" max="5" width="34.5703125" style="267" bestFit="1" customWidth="1"/>
    <col min="6" max="6" width="13.5703125" style="267" bestFit="1" customWidth="1"/>
    <col min="7" max="7" width="9.140625" style="267"/>
    <col min="8" max="12" width="5.85546875" style="267" customWidth="1"/>
    <col min="13" max="16384" width="9.140625" style="267"/>
  </cols>
  <sheetData>
    <row r="1" spans="1:12" ht="21.75" customHeight="1">
      <c r="B1" s="1303" t="s">
        <v>993</v>
      </c>
    </row>
    <row r="2" spans="1:12" ht="15.75">
      <c r="A2" s="1261" t="s">
        <v>73</v>
      </c>
      <c r="B2" s="1286" t="s">
        <v>67</v>
      </c>
      <c r="C2" s="1296" t="s">
        <v>988</v>
      </c>
      <c r="D2" s="1296" t="s">
        <v>987</v>
      </c>
    </row>
    <row r="3" spans="1:12">
      <c r="A3" s="283">
        <v>1</v>
      </c>
      <c r="B3" s="267" t="s">
        <v>34</v>
      </c>
      <c r="C3" s="1287" t="s">
        <v>976</v>
      </c>
      <c r="D3" s="1287" t="s">
        <v>989</v>
      </c>
    </row>
    <row r="4" spans="1:12">
      <c r="A4" s="283">
        <v>2</v>
      </c>
      <c r="B4" s="267" t="s">
        <v>35</v>
      </c>
      <c r="C4" s="1288" t="s">
        <v>977</v>
      </c>
      <c r="D4" s="1288" t="s">
        <v>990</v>
      </c>
    </row>
    <row r="5" spans="1:12">
      <c r="A5" s="283">
        <v>3</v>
      </c>
      <c r="B5" s="267" t="s">
        <v>36</v>
      </c>
      <c r="C5" s="1289" t="s">
        <v>978</v>
      </c>
      <c r="D5" s="1289" t="s">
        <v>991</v>
      </c>
    </row>
    <row r="6" spans="1:12" ht="30">
      <c r="A6" s="283">
        <v>4</v>
      </c>
      <c r="B6" s="267" t="s">
        <v>375</v>
      </c>
      <c r="C6" s="1290" t="s">
        <v>986</v>
      </c>
      <c r="D6" s="1290" t="s">
        <v>992</v>
      </c>
    </row>
    <row r="7" spans="1:12">
      <c r="A7" s="283">
        <v>5</v>
      </c>
      <c r="B7" s="267" t="s">
        <v>38</v>
      </c>
      <c r="C7" s="1291" t="s">
        <v>1164</v>
      </c>
      <c r="D7" s="1291" t="s">
        <v>1165</v>
      </c>
    </row>
    <row r="9" spans="1:12" ht="15.75">
      <c r="A9" s="1261" t="s">
        <v>75</v>
      </c>
      <c r="B9" s="1286" t="s">
        <v>67</v>
      </c>
      <c r="C9" s="1292" t="str">
        <f>VLOOKUP(LCT,Data!$A$3:$D$7,3,0)</f>
        <v>Data!$C$10:$C$14</v>
      </c>
      <c r="D9" s="1292" t="str">
        <f>VLOOKUP(LCT,Data!$A$3:$D$7,4,0)</f>
        <v>Data!$I$10:$I$14</v>
      </c>
      <c r="E9" s="1302">
        <f ca="1">INDEX(INDIRECT($D$9),Ts!$L$16)</f>
        <v>3</v>
      </c>
    </row>
    <row r="10" spans="1:12">
      <c r="A10" s="283">
        <v>1</v>
      </c>
      <c r="B10" s="1287" t="s">
        <v>323</v>
      </c>
      <c r="C10" s="1288" t="s">
        <v>323</v>
      </c>
      <c r="D10" s="1289" t="s">
        <v>323</v>
      </c>
      <c r="E10" s="1290" t="s">
        <v>323</v>
      </c>
      <c r="F10" s="1291" t="s">
        <v>323</v>
      </c>
      <c r="H10" s="1297">
        <v>1</v>
      </c>
      <c r="I10" s="1298">
        <v>3</v>
      </c>
      <c r="J10" s="1299">
        <v>8</v>
      </c>
      <c r="K10" s="1300">
        <v>11</v>
      </c>
      <c r="L10" s="1301">
        <v>14</v>
      </c>
    </row>
    <row r="11" spans="1:12" ht="30">
      <c r="A11" s="283">
        <v>2</v>
      </c>
      <c r="B11" s="1287" t="s">
        <v>376</v>
      </c>
      <c r="C11" s="1288" t="s">
        <v>651</v>
      </c>
      <c r="D11" s="1289" t="s">
        <v>377</v>
      </c>
      <c r="E11" s="1290" t="s">
        <v>973</v>
      </c>
      <c r="F11" s="1291"/>
      <c r="H11" s="1297">
        <v>2</v>
      </c>
      <c r="I11" s="1298">
        <v>4</v>
      </c>
      <c r="J11" s="1299">
        <v>9</v>
      </c>
      <c r="K11" s="1300">
        <v>12</v>
      </c>
      <c r="L11" s="1301"/>
    </row>
    <row r="12" spans="1:12" ht="45">
      <c r="A12" s="283">
        <v>3</v>
      </c>
      <c r="C12" s="1288" t="s">
        <v>968</v>
      </c>
      <c r="D12" s="1289" t="s">
        <v>964</v>
      </c>
      <c r="E12" s="1290" t="s">
        <v>965</v>
      </c>
      <c r="H12" s="283"/>
      <c r="I12" s="1298">
        <v>5</v>
      </c>
      <c r="J12" s="1299">
        <v>10</v>
      </c>
      <c r="K12" s="1300">
        <v>13</v>
      </c>
      <c r="L12" s="283"/>
    </row>
    <row r="13" spans="1:12" ht="45">
      <c r="A13" s="283">
        <v>4</v>
      </c>
      <c r="C13" s="1288" t="s">
        <v>969</v>
      </c>
      <c r="H13" s="283"/>
      <c r="I13" s="1298">
        <v>6</v>
      </c>
      <c r="J13" s="283"/>
      <c r="K13" s="283"/>
      <c r="L13" s="283"/>
    </row>
    <row r="14" spans="1:12" ht="30">
      <c r="A14" s="283">
        <v>5</v>
      </c>
      <c r="C14" s="1288" t="s">
        <v>970</v>
      </c>
      <c r="H14" s="283"/>
      <c r="I14" s="1298">
        <v>7</v>
      </c>
      <c r="J14" s="283"/>
      <c r="K14" s="283"/>
      <c r="L14" s="283"/>
    </row>
    <row r="16" spans="1:12" ht="15.75">
      <c r="A16" s="1261" t="s">
        <v>77</v>
      </c>
      <c r="B16" s="1286" t="s">
        <v>67</v>
      </c>
    </row>
    <row r="17" spans="1:2" ht="30">
      <c r="A17" s="283">
        <v>1</v>
      </c>
      <c r="B17" s="267" t="s">
        <v>726</v>
      </c>
    </row>
    <row r="18" spans="1:2">
      <c r="A18" s="283">
        <v>2</v>
      </c>
      <c r="B18" s="267" t="s">
        <v>727</v>
      </c>
    </row>
    <row r="20" spans="1:2" ht="15.75">
      <c r="A20" s="1261" t="s">
        <v>80</v>
      </c>
      <c r="B20" s="1286" t="s">
        <v>81</v>
      </c>
    </row>
    <row r="21" spans="1:2">
      <c r="B21" s="267" t="s">
        <v>83</v>
      </c>
    </row>
    <row r="22" spans="1:2">
      <c r="B22" s="267" t="s">
        <v>85</v>
      </c>
    </row>
    <row r="23" spans="1:2">
      <c r="B23" s="267" t="s">
        <v>86</v>
      </c>
    </row>
    <row r="24" spans="1:2">
      <c r="B24" s="267" t="s">
        <v>88</v>
      </c>
    </row>
    <row r="25" spans="1:2">
      <c r="B25" s="267" t="s">
        <v>89</v>
      </c>
    </row>
    <row r="27" spans="1:2" ht="15.75">
      <c r="A27" s="1261" t="s">
        <v>769</v>
      </c>
      <c r="B27" s="1286" t="s">
        <v>979</v>
      </c>
    </row>
    <row r="28" spans="1:2" ht="30">
      <c r="A28" s="283">
        <v>1</v>
      </c>
      <c r="B28" s="267" t="s">
        <v>980</v>
      </c>
    </row>
    <row r="29" spans="1:2">
      <c r="A29" s="283">
        <v>2</v>
      </c>
      <c r="B29" s="267" t="s">
        <v>981</v>
      </c>
    </row>
    <row r="30" spans="1:2">
      <c r="A30" s="283">
        <v>3</v>
      </c>
      <c r="B30" s="267" t="s">
        <v>982</v>
      </c>
    </row>
    <row r="31" spans="1:2">
      <c r="A31" s="283">
        <v>4</v>
      </c>
      <c r="B31" s="267" t="s">
        <v>983</v>
      </c>
    </row>
    <row r="32" spans="1:2">
      <c r="A32" s="283">
        <v>5</v>
      </c>
      <c r="B32" s="267" t="s">
        <v>984</v>
      </c>
    </row>
    <row r="34" spans="1:2" ht="15.75">
      <c r="A34" s="1261" t="s">
        <v>770</v>
      </c>
      <c r="B34" s="1286" t="s">
        <v>985</v>
      </c>
    </row>
    <row r="35" spans="1:2">
      <c r="A35" s="283">
        <v>1</v>
      </c>
      <c r="B35" s="267" t="s">
        <v>216</v>
      </c>
    </row>
    <row r="36" spans="1:2">
      <c r="A36" s="283">
        <v>2</v>
      </c>
      <c r="B36" s="267" t="s">
        <v>84</v>
      </c>
    </row>
    <row r="37" spans="1:2">
      <c r="A37" s="283">
        <v>3</v>
      </c>
      <c r="B37" s="267" t="s">
        <v>82</v>
      </c>
    </row>
    <row r="39" spans="1:2" ht="15.75">
      <c r="A39" s="1261" t="s">
        <v>771</v>
      </c>
      <c r="B39" s="1286" t="s">
        <v>837</v>
      </c>
    </row>
    <row r="40" spans="1:2" ht="30">
      <c r="A40" s="283">
        <v>1</v>
      </c>
      <c r="B40" s="267" t="s">
        <v>638</v>
      </c>
    </row>
    <row r="41" spans="1:2">
      <c r="A41" s="283">
        <v>2</v>
      </c>
      <c r="B41" s="267" t="s">
        <v>639</v>
      </c>
    </row>
    <row r="42" spans="1:2">
      <c r="A42" s="283">
        <v>3</v>
      </c>
      <c r="B42" s="267" t="s">
        <v>640</v>
      </c>
    </row>
    <row r="44" spans="1:2" ht="15.75">
      <c r="A44" s="1261" t="s">
        <v>773</v>
      </c>
      <c r="B44" s="1286" t="s">
        <v>644</v>
      </c>
    </row>
    <row r="45" spans="1:2">
      <c r="A45" s="283">
        <v>1</v>
      </c>
      <c r="B45" s="267" t="s">
        <v>642</v>
      </c>
    </row>
    <row r="46" spans="1:2">
      <c r="A46" s="283">
        <v>2</v>
      </c>
      <c r="B46" s="267" t="s">
        <v>643</v>
      </c>
    </row>
    <row r="47" spans="1:2">
      <c r="A47" s="283">
        <v>3</v>
      </c>
      <c r="B47" s="267" t="s">
        <v>670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S">
    <tabColor rgb="FFFF0000"/>
  </sheetPr>
  <dimension ref="A1:AF103"/>
  <sheetViews>
    <sheetView tabSelected="1" topLeftCell="C58" zoomScale="70" zoomScaleNormal="70" zoomScaleSheetLayoutView="70" zoomScalePageLayoutView="85" workbookViewId="0">
      <selection activeCell="N73" sqref="N73"/>
    </sheetView>
  </sheetViews>
  <sheetFormatPr defaultColWidth="6.42578125" defaultRowHeight="15.75"/>
  <cols>
    <col min="1" max="6" width="6.42578125" style="952" customWidth="1"/>
    <col min="7" max="7" width="1.85546875" style="79" customWidth="1"/>
    <col min="8" max="8" width="5.5703125" style="79" customWidth="1"/>
    <col min="9" max="9" width="6.5703125" style="79" customWidth="1"/>
    <col min="10" max="10" width="6.42578125" style="79" customWidth="1"/>
    <col min="11" max="11" width="16" style="79" customWidth="1"/>
    <col min="12" max="12" width="18.140625" style="79" customWidth="1"/>
    <col min="13" max="14" width="22.5703125" style="79" customWidth="1"/>
    <col min="15" max="15" width="22.5703125" style="964" customWidth="1"/>
    <col min="16" max="16" width="20.5703125" style="79" customWidth="1"/>
    <col min="17" max="17" width="5.5703125" style="79" customWidth="1"/>
    <col min="18" max="18" width="5.5703125" style="17" hidden="1" customWidth="1"/>
    <col min="19" max="19" width="5.5703125" style="79" hidden="1" customWidth="1"/>
    <col min="20" max="20" width="5.5703125" style="17" hidden="1" customWidth="1"/>
    <col min="21" max="21" width="9.85546875" style="17" customWidth="1"/>
    <col min="22" max="22" width="63.140625" style="17" customWidth="1"/>
    <col min="23" max="23" width="9.42578125" style="17" customWidth="1"/>
    <col min="24" max="24" width="16.42578125" style="17" customWidth="1"/>
    <col min="25" max="32" width="15.5703125" style="17" customWidth="1"/>
    <col min="33" max="16384" width="6.42578125" style="79"/>
  </cols>
  <sheetData>
    <row r="1" spans="1:28" ht="30" customHeight="1">
      <c r="G1" s="450" t="s">
        <v>385</v>
      </c>
      <c r="H1" s="721"/>
      <c r="I1" s="721"/>
      <c r="J1" s="721"/>
      <c r="K1" s="721"/>
      <c r="L1" s="721"/>
      <c r="M1" s="721"/>
      <c r="N1" s="721"/>
      <c r="O1" s="953"/>
      <c r="P1" s="954"/>
    </row>
    <row r="2" spans="1:28" ht="23.1" customHeight="1">
      <c r="G2" s="1304" t="s">
        <v>193</v>
      </c>
      <c r="H2" s="956"/>
      <c r="I2" s="956"/>
      <c r="J2" s="956"/>
      <c r="K2" s="957"/>
      <c r="L2" s="957"/>
      <c r="M2" s="957"/>
      <c r="N2" s="957"/>
      <c r="O2" s="958"/>
      <c r="P2" s="958"/>
      <c r="U2" s="1264" t="s">
        <v>1003</v>
      </c>
      <c r="V2" s="985"/>
    </row>
    <row r="3" spans="1:28" ht="33" customHeight="1">
      <c r="H3" s="959" t="s">
        <v>386</v>
      </c>
      <c r="I3" s="959"/>
      <c r="J3" s="959"/>
      <c r="K3" s="962" t="s">
        <v>2112</v>
      </c>
      <c r="L3" s="960"/>
      <c r="M3" s="960"/>
      <c r="N3" s="960"/>
      <c r="O3" s="960"/>
      <c r="P3" s="962"/>
      <c r="U3" s="274" t="s">
        <v>196</v>
      </c>
      <c r="V3" s="274" t="s">
        <v>32</v>
      </c>
      <c r="W3" s="274" t="s">
        <v>33</v>
      </c>
      <c r="X3" s="1305" t="s">
        <v>1159</v>
      </c>
      <c r="Y3" s="1305" t="s">
        <v>994</v>
      </c>
      <c r="Z3" s="274" t="s">
        <v>995</v>
      </c>
      <c r="AA3" s="273" t="s">
        <v>996</v>
      </c>
      <c r="AB3" s="274" t="s">
        <v>997</v>
      </c>
    </row>
    <row r="4" spans="1:28" ht="33" customHeight="1">
      <c r="H4" s="959" t="s">
        <v>247</v>
      </c>
      <c r="I4" s="959"/>
      <c r="J4" s="959"/>
      <c r="K4" s="962" t="s">
        <v>2113</v>
      </c>
      <c r="L4" s="960"/>
      <c r="M4" s="960"/>
      <c r="N4" s="960"/>
      <c r="O4" s="960"/>
      <c r="P4" s="962"/>
      <c r="U4" s="1309">
        <v>1</v>
      </c>
      <c r="V4" s="1311" t="s">
        <v>34</v>
      </c>
      <c r="W4" s="1097"/>
      <c r="X4" s="1270"/>
      <c r="Y4" s="1097"/>
      <c r="Z4" s="1270"/>
      <c r="AA4" s="1270"/>
      <c r="AB4" s="1270"/>
    </row>
    <row r="5" spans="1:28" ht="33" customHeight="1">
      <c r="H5" s="959" t="s">
        <v>248</v>
      </c>
      <c r="I5" s="959"/>
      <c r="J5" s="959"/>
      <c r="K5" s="962" t="s">
        <v>2114</v>
      </c>
      <c r="L5" s="960"/>
      <c r="M5" s="960"/>
      <c r="N5" s="960"/>
      <c r="O5" s="960"/>
      <c r="P5" s="962"/>
      <c r="S5" s="79">
        <v>1</v>
      </c>
      <c r="U5" s="35"/>
      <c r="V5" s="351" t="s">
        <v>323</v>
      </c>
      <c r="W5" s="35">
        <v>2.5</v>
      </c>
      <c r="X5" s="636" t="s">
        <v>1160</v>
      </c>
      <c r="Y5" s="35">
        <f>$AE$33</f>
        <v>7.3</v>
      </c>
      <c r="Z5" s="35">
        <v>5.5</v>
      </c>
      <c r="AA5" s="1306">
        <f>$AF$33</f>
        <v>7.3</v>
      </c>
      <c r="AB5" s="35">
        <v>5.5</v>
      </c>
    </row>
    <row r="6" spans="1:28" ht="33" customHeight="1">
      <c r="H6" s="959" t="s">
        <v>1331</v>
      </c>
      <c r="I6" s="959"/>
      <c r="J6" s="959"/>
      <c r="K6" s="962"/>
      <c r="L6" s="960"/>
      <c r="M6" s="960"/>
      <c r="N6" s="960"/>
      <c r="O6" s="960"/>
      <c r="P6" s="962"/>
      <c r="S6" s="79">
        <v>2</v>
      </c>
      <c r="U6" s="295"/>
      <c r="V6" s="579" t="s">
        <v>376</v>
      </c>
      <c r="W6" s="295">
        <v>2.5</v>
      </c>
      <c r="X6" s="471" t="s">
        <v>1160</v>
      </c>
      <c r="Y6" s="295">
        <f>$AE$34</f>
        <v>11.6</v>
      </c>
      <c r="Z6" s="295">
        <v>5.5</v>
      </c>
      <c r="AA6" s="1307">
        <f>$AF$34</f>
        <v>11.6</v>
      </c>
      <c r="AB6" s="295">
        <v>5.5</v>
      </c>
    </row>
    <row r="7" spans="1:28" ht="33" customHeight="1">
      <c r="H7" s="959" t="s">
        <v>1332</v>
      </c>
      <c r="I7" s="959"/>
      <c r="J7" s="959"/>
      <c r="K7" s="962"/>
      <c r="L7" s="960"/>
      <c r="M7" s="960"/>
      <c r="N7" s="960"/>
      <c r="O7" s="960"/>
      <c r="P7" s="962"/>
      <c r="U7" s="1309">
        <v>2</v>
      </c>
      <c r="V7" s="1311" t="s">
        <v>35</v>
      </c>
      <c r="W7" s="1097"/>
      <c r="X7" s="1356"/>
      <c r="Y7" s="1097"/>
      <c r="Z7" s="1097"/>
      <c r="AA7" s="1097"/>
      <c r="AB7" s="1097"/>
    </row>
    <row r="8" spans="1:28" ht="33" customHeight="1">
      <c r="H8" s="959" t="s">
        <v>1333</v>
      </c>
      <c r="I8" s="959"/>
      <c r="J8" s="959"/>
      <c r="K8" s="962"/>
      <c r="L8" s="960"/>
      <c r="M8" s="960"/>
      <c r="N8" s="960"/>
      <c r="O8" s="960"/>
      <c r="P8" s="962"/>
      <c r="S8" s="79">
        <v>3</v>
      </c>
      <c r="U8" s="351"/>
      <c r="V8" s="351" t="s">
        <v>323</v>
      </c>
      <c r="W8" s="35">
        <v>2</v>
      </c>
      <c r="X8" s="636" t="s">
        <v>1160</v>
      </c>
      <c r="Y8" s="35">
        <f>$AE$35</f>
        <v>6.2</v>
      </c>
      <c r="Z8" s="35">
        <v>6</v>
      </c>
      <c r="AA8" s="1306">
        <f>$AF$35</f>
        <v>6.2</v>
      </c>
      <c r="AB8" s="35">
        <v>6</v>
      </c>
    </row>
    <row r="9" spans="1:28" ht="33" customHeight="1">
      <c r="H9" s="959" t="s">
        <v>1334</v>
      </c>
      <c r="I9" s="959"/>
      <c r="J9" s="959"/>
      <c r="K9" s="962"/>
      <c r="L9" s="960"/>
      <c r="M9" s="960"/>
      <c r="N9" s="959"/>
      <c r="O9" s="960"/>
      <c r="P9" s="962"/>
      <c r="S9" s="79">
        <v>4</v>
      </c>
      <c r="U9" s="35"/>
      <c r="V9" s="1262" t="s">
        <v>651</v>
      </c>
      <c r="W9" s="35">
        <v>6.5</v>
      </c>
      <c r="X9" s="636" t="s">
        <v>1160</v>
      </c>
      <c r="Y9" s="35">
        <f>$AE$36</f>
        <v>7.3</v>
      </c>
      <c r="Z9" s="35">
        <v>6</v>
      </c>
      <c r="AA9" s="1306">
        <f>$AF$36</f>
        <v>7.3</v>
      </c>
      <c r="AB9" s="35">
        <v>6</v>
      </c>
    </row>
    <row r="10" spans="1:28" ht="33" customHeight="1">
      <c r="H10" s="959" t="s">
        <v>1335</v>
      </c>
      <c r="I10" s="959"/>
      <c r="J10" s="959"/>
      <c r="K10" s="962"/>
      <c r="N10" s="959"/>
      <c r="O10" s="960"/>
      <c r="S10" s="79">
        <v>5</v>
      </c>
      <c r="U10" s="35"/>
      <c r="V10" s="1263" t="s">
        <v>968</v>
      </c>
      <c r="W10" s="35">
        <v>2</v>
      </c>
      <c r="X10" s="636" t="s">
        <v>1161</v>
      </c>
      <c r="Y10" s="35">
        <f>$AA$52</f>
        <v>65</v>
      </c>
      <c r="Z10" s="35">
        <v>6</v>
      </c>
      <c r="AA10" s="35">
        <f>$AB$52</f>
        <v>65</v>
      </c>
      <c r="AB10" s="35">
        <v>6</v>
      </c>
    </row>
    <row r="11" spans="1:28" ht="33" customHeight="1">
      <c r="H11" s="959" t="s">
        <v>1336</v>
      </c>
      <c r="I11" s="959"/>
      <c r="J11" s="959"/>
      <c r="K11" s="962"/>
      <c r="L11" s="960"/>
      <c r="M11" s="960"/>
      <c r="N11" s="960"/>
      <c r="O11" s="960"/>
      <c r="P11" s="962"/>
      <c r="S11" s="79">
        <v>6</v>
      </c>
      <c r="U11" s="35"/>
      <c r="V11" s="1263" t="s">
        <v>969</v>
      </c>
      <c r="W11" s="35">
        <v>2</v>
      </c>
      <c r="X11" s="636" t="s">
        <v>1161</v>
      </c>
      <c r="Y11" s="35">
        <f>$AA$53</f>
        <v>65</v>
      </c>
      <c r="Z11" s="35">
        <v>6</v>
      </c>
      <c r="AA11" s="35">
        <f>$AB$53</f>
        <v>65</v>
      </c>
      <c r="AB11" s="35">
        <v>6</v>
      </c>
    </row>
    <row r="12" spans="1:28" ht="21.75" customHeight="1">
      <c r="H12" s="606"/>
      <c r="I12" s="606"/>
      <c r="J12" s="606"/>
      <c r="O12" s="79"/>
      <c r="P12" s="961"/>
      <c r="S12" s="79">
        <v>7</v>
      </c>
      <c r="U12" s="295"/>
      <c r="V12" s="1269" t="s">
        <v>970</v>
      </c>
      <c r="W12" s="295">
        <v>2</v>
      </c>
      <c r="X12" s="471" t="s">
        <v>1161</v>
      </c>
      <c r="Y12" s="295">
        <f>$AA$54</f>
        <v>65</v>
      </c>
      <c r="Z12" s="295">
        <v>6</v>
      </c>
      <c r="AA12" s="295">
        <f>$AB$54</f>
        <v>65</v>
      </c>
      <c r="AB12" s="295">
        <v>6</v>
      </c>
    </row>
    <row r="13" spans="1:28" ht="20.25">
      <c r="G13" s="1304" t="s">
        <v>604</v>
      </c>
      <c r="H13" s="956"/>
      <c r="I13" s="956"/>
      <c r="J13" s="956"/>
      <c r="K13" s="957"/>
      <c r="L13" s="957"/>
      <c r="M13" s="957"/>
      <c r="N13" s="957"/>
      <c r="O13" s="958"/>
      <c r="P13" s="958"/>
      <c r="U13" s="1309">
        <v>3</v>
      </c>
      <c r="V13" s="1311" t="s">
        <v>36</v>
      </c>
      <c r="W13" s="1097"/>
      <c r="X13" s="1356"/>
      <c r="Y13" s="1097"/>
      <c r="Z13" s="1097"/>
      <c r="AA13" s="1097"/>
      <c r="AB13" s="1097"/>
    </row>
    <row r="14" spans="1:28">
      <c r="H14" s="959"/>
      <c r="I14" s="959"/>
      <c r="J14" s="959"/>
      <c r="O14" s="79"/>
      <c r="P14" s="961"/>
      <c r="S14" s="79">
        <v>8</v>
      </c>
      <c r="U14" s="35"/>
      <c r="V14" s="351" t="s">
        <v>323</v>
      </c>
      <c r="W14" s="35">
        <v>2</v>
      </c>
      <c r="X14" s="636" t="s">
        <v>1160</v>
      </c>
      <c r="Y14" s="35">
        <f>$AE$37</f>
        <v>6.2</v>
      </c>
      <c r="Z14" s="35">
        <v>6</v>
      </c>
      <c r="AA14" s="1306">
        <f>$AF$37</f>
        <v>6.2</v>
      </c>
      <c r="AB14" s="35">
        <v>6</v>
      </c>
    </row>
    <row r="15" spans="1:28" ht="33" customHeight="1">
      <c r="A15" s="2445" t="s">
        <v>1002</v>
      </c>
      <c r="B15" s="2445"/>
      <c r="C15" s="2445"/>
      <c r="D15" s="2445"/>
      <c r="E15" s="2445"/>
      <c r="F15" s="2445"/>
      <c r="H15" s="1324" t="s">
        <v>652</v>
      </c>
      <c r="I15" s="962"/>
      <c r="J15" s="962"/>
      <c r="L15" s="606">
        <v>2</v>
      </c>
      <c r="M15" s="606"/>
      <c r="N15" s="606"/>
      <c r="O15" s="606"/>
      <c r="S15" s="79">
        <v>9</v>
      </c>
      <c r="U15" s="35"/>
      <c r="V15" s="351" t="s">
        <v>377</v>
      </c>
      <c r="W15" s="35">
        <v>6.5</v>
      </c>
      <c r="X15" s="636" t="s">
        <v>1160</v>
      </c>
      <c r="Y15" s="35">
        <f>$AE$38</f>
        <v>7.3</v>
      </c>
      <c r="Z15" s="35">
        <v>6</v>
      </c>
      <c r="AA15" s="1306">
        <f>$AF$38</f>
        <v>7.3</v>
      </c>
      <c r="AB15" s="35">
        <v>6</v>
      </c>
    </row>
    <row r="16" spans="1:28" ht="33" customHeight="1">
      <c r="H16" s="959"/>
      <c r="I16" s="959"/>
      <c r="J16" s="959"/>
      <c r="L16" s="606">
        <v>1</v>
      </c>
      <c r="M16" s="606"/>
      <c r="N16" s="79" t="e">
        <f>ADDRESS(MATCH(V2,V4:V22,0)+1+3,64,1,1)&amp;":"&amp;ADDRESS(MATCH(V2,V4:V22,0)+VLOOKUP(V2,V4:AC22,6,0)+3,64,1,1)</f>
        <v>#N/A</v>
      </c>
      <c r="O16" s="606"/>
      <c r="S16" s="79">
        <v>10</v>
      </c>
      <c r="U16" s="295"/>
      <c r="V16" s="1269" t="s">
        <v>964</v>
      </c>
      <c r="W16" s="295">
        <v>2</v>
      </c>
      <c r="X16" s="471" t="s">
        <v>1161</v>
      </c>
      <c r="Y16" s="295">
        <f>$AA$50</f>
        <v>66</v>
      </c>
      <c r="Z16" s="295">
        <v>6</v>
      </c>
      <c r="AA16" s="295">
        <f>$AB$50</f>
        <v>66</v>
      </c>
      <c r="AB16" s="295">
        <v>6</v>
      </c>
    </row>
    <row r="17" spans="1:32" ht="33" customHeight="1">
      <c r="H17" s="1324" t="s">
        <v>962</v>
      </c>
      <c r="I17" s="959"/>
      <c r="J17" s="959"/>
      <c r="L17" s="606">
        <v>2</v>
      </c>
      <c r="M17" s="606"/>
      <c r="O17" s="606"/>
      <c r="U17" s="1309">
        <v>4</v>
      </c>
      <c r="V17" s="1311" t="s">
        <v>375</v>
      </c>
      <c r="W17" s="1097" t="s">
        <v>147</v>
      </c>
      <c r="X17" s="1356"/>
      <c r="Y17" s="1097"/>
      <c r="Z17" s="1097"/>
      <c r="AA17" s="1097"/>
      <c r="AB17" s="1097"/>
    </row>
    <row r="18" spans="1:32" ht="33" customHeight="1">
      <c r="H18" s="1324" t="s">
        <v>653</v>
      </c>
      <c r="I18" s="962"/>
      <c r="J18" s="962"/>
      <c r="L18" s="606">
        <v>3</v>
      </c>
      <c r="M18" s="606"/>
      <c r="N18" s="606"/>
      <c r="O18" s="606"/>
      <c r="P18" s="994"/>
      <c r="S18" s="79">
        <v>11</v>
      </c>
      <c r="U18" s="35"/>
      <c r="V18" s="351" t="s">
        <v>323</v>
      </c>
      <c r="W18" s="35">
        <v>2</v>
      </c>
      <c r="X18" s="636" t="s">
        <v>1160</v>
      </c>
      <c r="Y18" s="35">
        <f>$AE$39</f>
        <v>6.1</v>
      </c>
      <c r="Z18" s="35">
        <v>5.5</v>
      </c>
      <c r="AA18" s="1306">
        <f>$AF$39</f>
        <v>6.1</v>
      </c>
      <c r="AB18" s="35">
        <v>5.5</v>
      </c>
    </row>
    <row r="19" spans="1:32" ht="33" customHeight="1">
      <c r="H19" s="1324" t="s">
        <v>654</v>
      </c>
      <c r="I19" s="962"/>
      <c r="J19" s="962"/>
      <c r="L19" s="606">
        <v>3</v>
      </c>
      <c r="M19" s="606"/>
      <c r="N19" s="606"/>
      <c r="O19" s="963" t="str">
        <f>IF(baocao_=3,IF(L19=1,"","Báo cáo KTKT chỉ sử dụng thiết kế 1 bước, hãy chọn lại"),IF(L19&lt;&gt;1,"","Loại báo cáo này không sử dụng thiết kế 1 bước, hãy chọn lại"))</f>
        <v/>
      </c>
      <c r="P19" s="994"/>
      <c r="S19" s="79">
        <v>12</v>
      </c>
      <c r="U19" s="35"/>
      <c r="V19" s="351" t="s">
        <v>973</v>
      </c>
      <c r="W19" s="35">
        <v>6.5</v>
      </c>
      <c r="X19" s="636" t="s">
        <v>1160</v>
      </c>
      <c r="Y19" s="1306">
        <f>$AE$40</f>
        <v>7.3</v>
      </c>
      <c r="Z19" s="35">
        <v>5.5</v>
      </c>
      <c r="AA19" s="1306">
        <f>$AF$40</f>
        <v>7.3</v>
      </c>
      <c r="AB19" s="35">
        <v>5.5</v>
      </c>
    </row>
    <row r="20" spans="1:32" ht="33" customHeight="1">
      <c r="H20" s="1324" t="s">
        <v>655</v>
      </c>
      <c r="I20" s="962"/>
      <c r="J20" s="962"/>
      <c r="L20" s="606">
        <v>1</v>
      </c>
      <c r="M20" s="606"/>
      <c r="N20" s="606"/>
      <c r="O20" s="606"/>
      <c r="P20" s="994"/>
      <c r="S20" s="79">
        <v>13</v>
      </c>
      <c r="U20" s="295"/>
      <c r="V20" s="1269" t="s">
        <v>965</v>
      </c>
      <c r="W20" s="295">
        <v>2</v>
      </c>
      <c r="X20" s="471" t="s">
        <v>1161</v>
      </c>
      <c r="Y20" s="295">
        <f>$AA$51</f>
        <v>51</v>
      </c>
      <c r="Z20" s="295">
        <v>5.5</v>
      </c>
      <c r="AA20" s="295">
        <f>$AB$51</f>
        <v>51</v>
      </c>
      <c r="AB20" s="295">
        <v>5.5</v>
      </c>
    </row>
    <row r="21" spans="1:32" ht="33" customHeight="1">
      <c r="H21" s="1324" t="s">
        <v>656</v>
      </c>
      <c r="I21" s="962"/>
      <c r="J21" s="962"/>
      <c r="L21" s="606">
        <v>1</v>
      </c>
      <c r="M21" s="606"/>
      <c r="N21" s="606"/>
      <c r="O21" s="606"/>
      <c r="U21" s="1309">
        <v>5</v>
      </c>
      <c r="V21" s="1313" t="s">
        <v>38</v>
      </c>
      <c r="W21" s="1097"/>
      <c r="X21" s="1356"/>
      <c r="Y21" s="1097"/>
      <c r="Z21" s="1097"/>
      <c r="AA21" s="1097"/>
      <c r="AB21" s="1097"/>
    </row>
    <row r="22" spans="1:32" ht="23.1" customHeight="1">
      <c r="H22" s="606"/>
      <c r="I22" s="606"/>
      <c r="J22" s="606"/>
      <c r="O22" s="79"/>
      <c r="P22" s="961"/>
      <c r="S22" s="79">
        <v>14</v>
      </c>
      <c r="U22" s="295"/>
      <c r="V22" s="1189" t="s">
        <v>323</v>
      </c>
      <c r="W22" s="295">
        <v>2</v>
      </c>
      <c r="X22" s="471" t="s">
        <v>1160</v>
      </c>
      <c r="Y22" s="295">
        <f>$AE$41</f>
        <v>5.5</v>
      </c>
      <c r="Z22" s="295">
        <v>5.5</v>
      </c>
      <c r="AA22" s="1307">
        <f>$AF$41</f>
        <v>5.5</v>
      </c>
      <c r="AB22" s="295">
        <v>5.5</v>
      </c>
    </row>
    <row r="23" spans="1:32" ht="25.5" customHeight="1">
      <c r="G23" s="1304" t="s">
        <v>669</v>
      </c>
      <c r="H23" s="956"/>
      <c r="I23" s="956"/>
      <c r="J23" s="956"/>
      <c r="K23" s="957"/>
      <c r="L23" s="957"/>
      <c r="M23" s="957"/>
      <c r="N23" s="957"/>
      <c r="O23" s="958"/>
      <c r="P23" s="958"/>
    </row>
    <row r="24" spans="1:32" s="965" customFormat="1" ht="23.1" customHeight="1">
      <c r="A24" s="952"/>
      <c r="B24" s="952"/>
      <c r="C24" s="952"/>
      <c r="D24" s="952"/>
      <c r="E24" s="952"/>
      <c r="F24" s="952"/>
      <c r="G24" s="966"/>
      <c r="H24" s="967"/>
      <c r="I24" s="967"/>
      <c r="J24" s="967"/>
      <c r="K24" s="968"/>
      <c r="L24" s="968"/>
      <c r="M24" s="970" t="s">
        <v>642</v>
      </c>
      <c r="N24" s="970" t="s">
        <v>645</v>
      </c>
      <c r="O24" s="982" t="s">
        <v>646</v>
      </c>
      <c r="P24" s="873" t="s">
        <v>99</v>
      </c>
      <c r="Q24" s="79"/>
      <c r="R24" s="17"/>
      <c r="T24" s="17"/>
      <c r="U24" s="17"/>
      <c r="V24" s="17"/>
      <c r="W24" s="17"/>
      <c r="X24" s="17"/>
      <c r="Y24" s="17"/>
      <c r="Z24" s="17"/>
      <c r="AA24" s="17"/>
      <c r="AB24" s="17"/>
      <c r="AC24" s="17"/>
      <c r="AD24" s="17"/>
      <c r="AE24" s="17"/>
      <c r="AF24" s="324"/>
    </row>
    <row r="25" spans="1:32" s="965" customFormat="1" ht="20.25" customHeight="1">
      <c r="A25" s="952"/>
      <c r="B25" s="952"/>
      <c r="C25" s="952"/>
      <c r="D25" s="952"/>
      <c r="E25" s="952"/>
      <c r="F25" s="952"/>
      <c r="G25" s="79"/>
      <c r="H25" s="972" t="s">
        <v>535</v>
      </c>
      <c r="I25" s="962"/>
      <c r="J25" s="962"/>
      <c r="K25" s="606"/>
      <c r="L25" s="606"/>
      <c r="M25" s="983"/>
      <c r="N25" s="983"/>
      <c r="O25" s="983"/>
      <c r="P25" s="973"/>
      <c r="Q25" s="79"/>
      <c r="R25" s="17"/>
      <c r="T25" s="17"/>
      <c r="U25" s="17"/>
      <c r="V25" s="17"/>
      <c r="W25" s="17"/>
      <c r="X25" s="17"/>
      <c r="Y25" s="17"/>
      <c r="Z25" s="17"/>
      <c r="AA25" s="17"/>
      <c r="AB25" s="17"/>
      <c r="AC25" s="17"/>
      <c r="AD25" s="17"/>
      <c r="AE25" s="17"/>
      <c r="AF25" s="324"/>
    </row>
    <row r="26" spans="1:32" ht="20.25" customHeight="1">
      <c r="H26" s="972" t="s">
        <v>330</v>
      </c>
      <c r="I26" s="962"/>
      <c r="J26" s="962"/>
      <c r="K26" s="606"/>
      <c r="L26" s="606"/>
      <c r="M26" s="1259">
        <f>'TMDT-SVDT'!P151</f>
        <v>0</v>
      </c>
      <c r="N26" s="983">
        <f ca="1">GXDtt</f>
        <v>344033167.17430645</v>
      </c>
      <c r="O26" s="983"/>
      <c r="P26" s="983">
        <f>'THCP xay dung'!D247</f>
        <v>98192068.176331997</v>
      </c>
      <c r="V26" s="17" t="s">
        <v>966</v>
      </c>
      <c r="W26" s="986">
        <f>M26/10^9</f>
        <v>0</v>
      </c>
      <c r="AB26" s="349"/>
      <c r="AC26" s="349"/>
    </row>
    <row r="27" spans="1:32" s="965" customFormat="1" ht="20.25" customHeight="1">
      <c r="A27" s="952"/>
      <c r="B27" s="952"/>
      <c r="C27" s="952"/>
      <c r="D27" s="952"/>
      <c r="E27" s="952"/>
      <c r="F27" s="952"/>
      <c r="G27" s="79"/>
      <c r="H27" s="972" t="s">
        <v>331</v>
      </c>
      <c r="I27" s="962"/>
      <c r="J27" s="962"/>
      <c r="K27" s="606"/>
      <c r="L27" s="606"/>
      <c r="M27" s="983">
        <f>'TMDT-SVDT'!P152</f>
        <v>0</v>
      </c>
      <c r="N27" s="983">
        <f ca="1">GTBtt</f>
        <v>0</v>
      </c>
      <c r="O27" s="983"/>
      <c r="P27" s="983">
        <f>'THCP Lap dat'!D44</f>
        <v>0</v>
      </c>
      <c r="Q27" s="79"/>
      <c r="R27" s="17"/>
      <c r="T27" s="17"/>
      <c r="U27" s="17"/>
      <c r="V27" s="17" t="s">
        <v>967</v>
      </c>
      <c r="W27" s="986">
        <f>M27/10^9</f>
        <v>0</v>
      </c>
      <c r="X27" s="17"/>
      <c r="Y27" s="17"/>
      <c r="Z27" s="17"/>
      <c r="AA27" s="17"/>
      <c r="AB27" s="349"/>
      <c r="AC27" s="349"/>
      <c r="AD27" s="17"/>
      <c r="AE27" s="17"/>
      <c r="AF27" s="17"/>
    </row>
    <row r="28" spans="1:32" s="965" customFormat="1" ht="20.25" customHeight="1">
      <c r="A28" s="952"/>
      <c r="B28" s="952"/>
      <c r="C28" s="952"/>
      <c r="D28" s="952"/>
      <c r="E28" s="952"/>
      <c r="F28" s="952"/>
      <c r="G28" s="79"/>
      <c r="H28" s="972" t="s">
        <v>647</v>
      </c>
      <c r="I28" s="962"/>
      <c r="J28" s="962"/>
      <c r="K28" s="606"/>
      <c r="L28" s="606"/>
      <c r="M28" s="983">
        <f>GT_TV</f>
        <v>0</v>
      </c>
      <c r="N28" s="983"/>
      <c r="O28" s="983"/>
      <c r="P28" s="973"/>
      <c r="Q28" s="79"/>
      <c r="R28" s="17"/>
      <c r="T28" s="17"/>
      <c r="U28" s="17"/>
      <c r="V28" s="17"/>
      <c r="W28" s="17"/>
      <c r="X28" s="17"/>
      <c r="Y28" s="17"/>
      <c r="Z28" s="17"/>
      <c r="AA28" s="17"/>
      <c r="AB28" s="17"/>
      <c r="AC28" s="17"/>
      <c r="AD28" s="17"/>
      <c r="AE28" s="17"/>
      <c r="AF28" s="17"/>
    </row>
    <row r="29" spans="1:32" s="965" customFormat="1" ht="20.25" customHeight="1">
      <c r="A29" s="952"/>
      <c r="B29" s="952"/>
      <c r="C29" s="952"/>
      <c r="D29" s="952"/>
      <c r="E29" s="952"/>
      <c r="F29" s="952"/>
      <c r="G29" s="79"/>
      <c r="H29" s="972" t="s">
        <v>648</v>
      </c>
      <c r="I29" s="962"/>
      <c r="J29" s="962"/>
      <c r="K29" s="606"/>
      <c r="L29" s="606"/>
      <c r="M29" s="983">
        <f>GT_TC</f>
        <v>0</v>
      </c>
      <c r="N29" s="983"/>
      <c r="O29" s="983"/>
      <c r="P29" s="973"/>
      <c r="Q29" s="79"/>
      <c r="R29" s="17"/>
      <c r="T29" s="17"/>
      <c r="U29" s="1310" t="s">
        <v>1004</v>
      </c>
      <c r="V29" s="349"/>
      <c r="W29" s="349"/>
      <c r="X29" s="349"/>
      <c r="Y29" s="349"/>
      <c r="Z29" s="349"/>
      <c r="AA29" s="349"/>
      <c r="AB29" s="349"/>
      <c r="AC29" s="349"/>
      <c r="AD29" s="913" t="s">
        <v>410</v>
      </c>
      <c r="AE29" s="349"/>
      <c r="AF29" s="17"/>
    </row>
    <row r="30" spans="1:32" s="965" customFormat="1" ht="20.25" customHeight="1">
      <c r="A30" s="952"/>
      <c r="B30" s="952"/>
      <c r="C30" s="952"/>
      <c r="D30" s="952"/>
      <c r="E30" s="952"/>
      <c r="F30" s="952"/>
      <c r="G30" s="79"/>
      <c r="H30" s="972" t="s">
        <v>649</v>
      </c>
      <c r="I30" s="962"/>
      <c r="J30" s="962"/>
      <c r="K30" s="606"/>
      <c r="L30" s="606"/>
      <c r="M30" s="983">
        <f>GT_TB</f>
        <v>0</v>
      </c>
      <c r="N30" s="983"/>
      <c r="O30" s="983"/>
      <c r="P30" s="973"/>
      <c r="Q30" s="79"/>
      <c r="R30" s="17"/>
      <c r="T30" s="17"/>
      <c r="U30" s="2427" t="s">
        <v>33</v>
      </c>
      <c r="V30" s="2427" t="s">
        <v>67</v>
      </c>
      <c r="W30" s="1275" t="s">
        <v>953</v>
      </c>
      <c r="X30" s="1275"/>
      <c r="Y30" s="1275"/>
      <c r="Z30" s="1275"/>
      <c r="AA30" s="1275"/>
      <c r="AB30" s="1275"/>
      <c r="AC30" s="1275"/>
      <c r="AD30" s="1275"/>
      <c r="AE30" s="987" t="s">
        <v>409</v>
      </c>
      <c r="AF30" s="987" t="s">
        <v>408</v>
      </c>
    </row>
    <row r="31" spans="1:32" s="965" customFormat="1" ht="20.25" customHeight="1">
      <c r="A31" s="971"/>
      <c r="B31" s="971"/>
      <c r="C31" s="971"/>
      <c r="D31" s="971"/>
      <c r="E31" s="971"/>
      <c r="F31" s="971"/>
      <c r="G31" s="79"/>
      <c r="H31" s="972" t="s">
        <v>650</v>
      </c>
      <c r="I31" s="962"/>
      <c r="J31" s="962"/>
      <c r="K31" s="606"/>
      <c r="L31" s="606"/>
      <c r="M31" s="983">
        <f>G_KS</f>
        <v>0</v>
      </c>
      <c r="N31" s="983"/>
      <c r="O31" s="983"/>
      <c r="P31" s="961"/>
      <c r="R31" s="17"/>
      <c r="T31" s="17"/>
      <c r="U31" s="2428"/>
      <c r="V31" s="2428"/>
      <c r="W31" s="1272">
        <v>15</v>
      </c>
      <c r="X31" s="1272">
        <v>50</v>
      </c>
      <c r="Y31" s="1272">
        <v>100</v>
      </c>
      <c r="Z31" s="1272">
        <v>300</v>
      </c>
      <c r="AA31" s="1272">
        <v>500</v>
      </c>
      <c r="AB31" s="1272">
        <v>750</v>
      </c>
      <c r="AC31" s="1272">
        <v>1000</v>
      </c>
      <c r="AD31" s="1273">
        <v>1000</v>
      </c>
      <c r="AE31" s="987"/>
      <c r="AF31" s="987"/>
    </row>
    <row r="32" spans="1:32" s="965" customFormat="1" ht="18.75" customHeight="1">
      <c r="A32" s="971"/>
      <c r="B32" s="971"/>
      <c r="C32" s="971"/>
      <c r="D32" s="971"/>
      <c r="E32" s="971"/>
      <c r="F32" s="971"/>
      <c r="G32" s="79"/>
      <c r="H32" s="972" t="s">
        <v>1158</v>
      </c>
      <c r="I32" s="972"/>
      <c r="J32" s="972"/>
      <c r="K32" s="972"/>
      <c r="L32" s="1355"/>
      <c r="M32" s="983">
        <f>TMDTSLT</f>
        <v>0</v>
      </c>
      <c r="N32" s="961"/>
      <c r="O32" s="961"/>
      <c r="P32" s="961"/>
      <c r="R32" s="17"/>
      <c r="T32" s="17"/>
      <c r="U32" s="1218" t="s">
        <v>273</v>
      </c>
      <c r="V32" s="1218" t="s">
        <v>276</v>
      </c>
      <c r="W32" s="1218" t="s">
        <v>277</v>
      </c>
      <c r="X32" s="1218" t="s">
        <v>278</v>
      </c>
      <c r="Y32" s="1218" t="s">
        <v>279</v>
      </c>
      <c r="Z32" s="1218" t="s">
        <v>280</v>
      </c>
      <c r="AA32" s="1218" t="s">
        <v>282</v>
      </c>
      <c r="AB32" s="1218" t="s">
        <v>283</v>
      </c>
      <c r="AC32" s="1218" t="s">
        <v>288</v>
      </c>
      <c r="AD32" s="1218" t="s">
        <v>292</v>
      </c>
      <c r="AE32" s="1117" t="s">
        <v>732</v>
      </c>
      <c r="AF32" s="1117" t="s">
        <v>733</v>
      </c>
    </row>
    <row r="33" spans="1:32" s="965" customFormat="1" ht="20.25" customHeight="1">
      <c r="A33" s="952"/>
      <c r="B33" s="952"/>
      <c r="C33" s="952"/>
      <c r="D33" s="952"/>
      <c r="E33" s="952"/>
      <c r="F33" s="952"/>
      <c r="G33" s="79"/>
      <c r="H33" s="972" t="s">
        <v>642</v>
      </c>
      <c r="I33" s="962"/>
      <c r="J33" s="962"/>
      <c r="K33" s="606"/>
      <c r="L33" s="606"/>
      <c r="M33" s="983">
        <f>TMDTTT</f>
        <v>0</v>
      </c>
      <c r="N33" s="961"/>
      <c r="O33" s="961"/>
      <c r="P33" s="961"/>
      <c r="Q33" s="79"/>
      <c r="R33" s="17"/>
      <c r="T33" s="17"/>
      <c r="U33" s="1274">
        <v>1</v>
      </c>
      <c r="V33" s="1311" t="s">
        <v>34</v>
      </c>
      <c r="W33" s="1276">
        <v>7.3</v>
      </c>
      <c r="X33" s="1276">
        <v>7.1</v>
      </c>
      <c r="Y33" s="1276">
        <v>6.7</v>
      </c>
      <c r="Z33" s="1276">
        <v>6.5</v>
      </c>
      <c r="AA33" s="1276">
        <v>6.2</v>
      </c>
      <c r="AB33" s="1276">
        <v>6.1</v>
      </c>
      <c r="AC33" s="1276">
        <v>6</v>
      </c>
      <c r="AD33" s="1276">
        <v>5.8</v>
      </c>
      <c r="AE33" s="1293">
        <f>IF($W$26&lt;=$W$31,W33,IF($W$26&lt;=$X$31,X33,IF($W$26&lt;=$Y$31,Y33,IF($W$26&lt;=$Z$31,Z33,IF($W$26&lt;=$AA$31,AA33,IF($W$26&lt;=$AB$31,AB33,IF($W$26&lt;=$AC$31,AC33,AD33)))))))</f>
        <v>7.3</v>
      </c>
      <c r="AF33" s="1294">
        <f>IF($W$27&lt;=$W$31,W33,IF($W$27&lt;=$X$31,X33,IF($W$27&lt;=$Y$31,Y33,IF($W$27&lt;=$Z$31,Z33,IF($W$27&lt;=$AA$31,AA33,IF($W$27&lt;=$AB$31,AB33,IF($W$27&lt;=$AC$31,AC33,AD33)))))))</f>
        <v>7.3</v>
      </c>
    </row>
    <row r="34" spans="1:32" s="965" customFormat="1" ht="20.25" customHeight="1">
      <c r="A34" s="952"/>
      <c r="B34" s="952"/>
      <c r="C34" s="952"/>
      <c r="D34" s="952"/>
      <c r="E34" s="952"/>
      <c r="F34" s="952"/>
      <c r="G34" s="79"/>
      <c r="H34" s="972"/>
      <c r="I34" s="962"/>
      <c r="J34" s="962"/>
      <c r="K34" s="606"/>
      <c r="L34" s="961"/>
      <c r="M34" s="961"/>
      <c r="N34" s="961"/>
      <c r="O34" s="961"/>
      <c r="P34" s="961"/>
      <c r="Q34" s="79"/>
      <c r="R34" s="17"/>
      <c r="T34" s="17"/>
      <c r="U34" s="1265"/>
      <c r="V34" s="1263" t="s">
        <v>407</v>
      </c>
      <c r="W34" s="1277">
        <v>11.6</v>
      </c>
      <c r="X34" s="1277">
        <v>11.1</v>
      </c>
      <c r="Y34" s="1277">
        <v>10.3</v>
      </c>
      <c r="Z34" s="1277">
        <v>10.1</v>
      </c>
      <c r="AA34" s="1277">
        <v>9.9</v>
      </c>
      <c r="AB34" s="1277">
        <v>9.8000000000000007</v>
      </c>
      <c r="AC34" s="1277">
        <v>9.6</v>
      </c>
      <c r="AD34" s="1277">
        <v>9.4</v>
      </c>
      <c r="AE34" s="1293">
        <f t="shared" ref="AE34:AE41" si="0">IF($W$26&lt;=$W$31,W34,IF($W$26&lt;=$X$31,X34,IF($W$26&lt;=$Y$31,Y34,IF($W$26&lt;=$Z$31,Z34,IF($W$26&lt;=$AA$31,AA34,IF($W$26&lt;=$AB$31,AB34,IF($W$26&lt;=$AC$31,AC34,AD34)))))))</f>
        <v>11.6</v>
      </c>
      <c r="AF34" s="1294">
        <f t="shared" ref="AF34:AF41" si="1">IF($W$27&lt;=$W$31,W34,IF($W$27&lt;=$X$31,X34,IF($W$27&lt;=$Y$31,Y34,IF($W$27&lt;=$Z$31,Z34,IF($W$27&lt;=$AA$31,AA34,IF($W$27&lt;=$AB$31,AB34,IF($W$27&lt;=$AC$31,AC34,AD34)))))))</f>
        <v>11.6</v>
      </c>
    </row>
    <row r="35" spans="1:32" ht="20.25">
      <c r="A35" s="971"/>
      <c r="B35" s="971"/>
      <c r="C35" s="971"/>
      <c r="D35" s="971"/>
      <c r="E35" s="971"/>
      <c r="F35" s="971"/>
      <c r="G35" s="1304" t="s">
        <v>194</v>
      </c>
      <c r="H35" s="955"/>
      <c r="I35" s="956"/>
      <c r="J35" s="956"/>
      <c r="K35" s="956"/>
      <c r="L35" s="957"/>
      <c r="M35" s="957"/>
      <c r="N35" s="957"/>
      <c r="O35" s="957"/>
      <c r="P35" s="958"/>
      <c r="Q35" s="965"/>
      <c r="U35" s="1266">
        <v>2</v>
      </c>
      <c r="V35" s="1311" t="s">
        <v>35</v>
      </c>
      <c r="W35" s="1277">
        <v>6.2</v>
      </c>
      <c r="X35" s="1277">
        <v>6</v>
      </c>
      <c r="Y35" s="1277">
        <v>5.6</v>
      </c>
      <c r="Z35" s="1277">
        <v>5.3</v>
      </c>
      <c r="AA35" s="1277">
        <v>5.0999999999999996</v>
      </c>
      <c r="AB35" s="1277">
        <v>5</v>
      </c>
      <c r="AC35" s="1277">
        <v>4.9000000000000004</v>
      </c>
      <c r="AD35" s="1277">
        <v>4.5999999999999996</v>
      </c>
      <c r="AE35" s="1293">
        <f t="shared" si="0"/>
        <v>6.2</v>
      </c>
      <c r="AF35" s="1294">
        <f t="shared" si="1"/>
        <v>6.2</v>
      </c>
    </row>
    <row r="36" spans="1:32" ht="20.25" customHeight="1">
      <c r="G36" s="966"/>
      <c r="H36" s="967"/>
      <c r="I36" s="967"/>
      <c r="J36" s="967"/>
      <c r="K36" s="968"/>
      <c r="L36" s="968"/>
      <c r="M36" s="968"/>
      <c r="N36" s="606" t="s">
        <v>730</v>
      </c>
      <c r="O36" s="606" t="s">
        <v>731</v>
      </c>
      <c r="U36" s="1265"/>
      <c r="V36" s="1263" t="s">
        <v>725</v>
      </c>
      <c r="W36" s="1277">
        <v>7.3</v>
      </c>
      <c r="X36" s="1277">
        <v>7.2</v>
      </c>
      <c r="Y36" s="1277">
        <v>7.1</v>
      </c>
      <c r="Z36" s="1277">
        <v>6.9</v>
      </c>
      <c r="AA36" s="1277">
        <v>6.7</v>
      </c>
      <c r="AB36" s="1277">
        <v>6.6</v>
      </c>
      <c r="AC36" s="1277">
        <v>6.5</v>
      </c>
      <c r="AD36" s="1277">
        <v>6.4</v>
      </c>
      <c r="AE36" s="1293">
        <f t="shared" si="0"/>
        <v>7.3</v>
      </c>
      <c r="AF36" s="1294">
        <f t="shared" si="1"/>
        <v>7.3</v>
      </c>
    </row>
    <row r="37" spans="1:32" ht="23.1" customHeight="1">
      <c r="A37" s="971"/>
      <c r="B37" s="971"/>
      <c r="C37" s="971"/>
      <c r="D37" s="971"/>
      <c r="E37" s="971"/>
      <c r="F37" s="971"/>
      <c r="H37" s="79" t="s">
        <v>37</v>
      </c>
      <c r="I37" s="84"/>
      <c r="J37" s="84"/>
      <c r="K37" s="84"/>
      <c r="L37" s="84"/>
      <c r="M37" s="84"/>
      <c r="N37" s="974">
        <v>1</v>
      </c>
      <c r="O37" s="1109">
        <v>1</v>
      </c>
      <c r="Q37" s="965"/>
      <c r="U37" s="1266">
        <v>3</v>
      </c>
      <c r="V37" s="1311" t="s">
        <v>36</v>
      </c>
      <c r="W37" s="1277">
        <v>6.2</v>
      </c>
      <c r="X37" s="1277">
        <v>6</v>
      </c>
      <c r="Y37" s="1277">
        <v>5.6</v>
      </c>
      <c r="Z37" s="1277">
        <v>5.3</v>
      </c>
      <c r="AA37" s="1277">
        <v>5.0999999999999996</v>
      </c>
      <c r="AB37" s="1277">
        <v>5</v>
      </c>
      <c r="AC37" s="1277">
        <v>4.9000000000000004</v>
      </c>
      <c r="AD37" s="1277">
        <v>4.5999999999999996</v>
      </c>
      <c r="AE37" s="1293">
        <f t="shared" si="0"/>
        <v>6.2</v>
      </c>
      <c r="AF37" s="1294">
        <f t="shared" si="1"/>
        <v>6.2</v>
      </c>
    </row>
    <row r="38" spans="1:32" ht="23.1" customHeight="1">
      <c r="A38" s="971"/>
      <c r="B38" s="971"/>
      <c r="C38" s="971"/>
      <c r="D38" s="971"/>
      <c r="E38" s="971"/>
      <c r="F38" s="971"/>
      <c r="H38" s="79" t="s">
        <v>39</v>
      </c>
      <c r="I38" s="84"/>
      <c r="J38" s="84"/>
      <c r="K38" s="84"/>
      <c r="L38" s="84"/>
      <c r="M38" s="84"/>
      <c r="N38" s="974">
        <v>1</v>
      </c>
      <c r="O38" s="1109">
        <v>1</v>
      </c>
      <c r="Q38" s="965"/>
      <c r="U38" s="1265"/>
      <c r="V38" s="1263" t="s">
        <v>406</v>
      </c>
      <c r="W38" s="1277">
        <v>7.3</v>
      </c>
      <c r="X38" s="1277">
        <v>7.2</v>
      </c>
      <c r="Y38" s="1277">
        <v>7.1</v>
      </c>
      <c r="Z38" s="1277">
        <v>6.9</v>
      </c>
      <c r="AA38" s="1277">
        <v>6.7</v>
      </c>
      <c r="AB38" s="1277">
        <v>6.6</v>
      </c>
      <c r="AC38" s="1277">
        <v>6.5</v>
      </c>
      <c r="AD38" s="1277">
        <v>6.4</v>
      </c>
      <c r="AE38" s="1293">
        <f t="shared" si="0"/>
        <v>7.3</v>
      </c>
      <c r="AF38" s="1294">
        <f t="shared" si="1"/>
        <v>7.3</v>
      </c>
    </row>
    <row r="39" spans="1:32" ht="23.1" customHeight="1">
      <c r="H39" s="79" t="s">
        <v>40</v>
      </c>
      <c r="K39" s="84"/>
      <c r="L39" s="84"/>
      <c r="M39" s="84"/>
      <c r="N39" s="974">
        <v>1</v>
      </c>
      <c r="O39" s="1109">
        <v>1</v>
      </c>
      <c r="U39" s="1266">
        <v>4</v>
      </c>
      <c r="V39" s="1311" t="s">
        <v>375</v>
      </c>
      <c r="W39" s="1277">
        <v>6.1</v>
      </c>
      <c r="X39" s="1277">
        <v>5.9</v>
      </c>
      <c r="Y39" s="1277">
        <v>5.5</v>
      </c>
      <c r="Z39" s="1277">
        <v>5.3</v>
      </c>
      <c r="AA39" s="1277">
        <v>5.0999999999999996</v>
      </c>
      <c r="AB39" s="1277">
        <v>5</v>
      </c>
      <c r="AC39" s="1277">
        <v>4.8</v>
      </c>
      <c r="AD39" s="1277">
        <v>4.5999999999999996</v>
      </c>
      <c r="AE39" s="1293">
        <f t="shared" si="0"/>
        <v>6.1</v>
      </c>
      <c r="AF39" s="1294">
        <f t="shared" si="1"/>
        <v>6.1</v>
      </c>
    </row>
    <row r="40" spans="1:32" ht="23.1" customHeight="1">
      <c r="H40" s="1328" t="str">
        <f ca="1">"Chi phí chung tính theo "&amp;VLOOKUP(Data!$E$9,CF_VLHSDMTL,6,0)</f>
        <v>Chi phí chung tính theo CP trực tiếp (T)</v>
      </c>
      <c r="K40" s="84"/>
      <c r="L40" s="84"/>
      <c r="M40" s="84"/>
      <c r="N40" s="975">
        <f ca="1">VLOOKUP(Data!$E$9,CF_VLHSDMTL,7,0)/100</f>
        <v>6.2E-2</v>
      </c>
      <c r="O40" s="1110">
        <f ca="1">VLOOKUP(Data!$E$9,CF_VLHSDMTL,9,0)/100</f>
        <v>6.2E-2</v>
      </c>
      <c r="U40" s="1265"/>
      <c r="V40" s="1263" t="s">
        <v>963</v>
      </c>
      <c r="W40" s="1277">
        <v>7.3</v>
      </c>
      <c r="X40" s="1277">
        <v>7.2</v>
      </c>
      <c r="Y40" s="1277">
        <v>7.1</v>
      </c>
      <c r="Z40" s="1277">
        <v>6.9</v>
      </c>
      <c r="AA40" s="1277">
        <v>6.7</v>
      </c>
      <c r="AB40" s="1277">
        <v>6.6</v>
      </c>
      <c r="AC40" s="1277">
        <v>6.5</v>
      </c>
      <c r="AD40" s="1277">
        <v>6.4</v>
      </c>
      <c r="AE40" s="1293">
        <f t="shared" si="0"/>
        <v>7.3</v>
      </c>
      <c r="AF40" s="1294">
        <f t="shared" si="1"/>
        <v>7.3</v>
      </c>
    </row>
    <row r="41" spans="1:32" ht="23.1" customHeight="1">
      <c r="H41" s="1328" t="s">
        <v>41</v>
      </c>
      <c r="K41" s="84"/>
      <c r="L41" s="84"/>
      <c r="M41" s="84"/>
      <c r="N41" s="975">
        <f ca="1">VLOOKUP(Data!$E$9,CF_VLHSDMTL,8,0)/100</f>
        <v>0.06</v>
      </c>
      <c r="O41" s="1110">
        <f ca="1">VLOOKUP(Data!$E$9,CF_VLHSDMTL,10,0)/100</f>
        <v>0.06</v>
      </c>
      <c r="U41" s="1267">
        <v>5</v>
      </c>
      <c r="V41" s="1312" t="s">
        <v>38</v>
      </c>
      <c r="W41" s="1278">
        <v>5.5</v>
      </c>
      <c r="X41" s="1278">
        <v>5.3</v>
      </c>
      <c r="Y41" s="1278">
        <v>5</v>
      </c>
      <c r="Z41" s="1278">
        <v>4.8</v>
      </c>
      <c r="AA41" s="1278">
        <v>4.5</v>
      </c>
      <c r="AB41" s="1278">
        <v>4.4000000000000004</v>
      </c>
      <c r="AC41" s="1278">
        <v>4.3</v>
      </c>
      <c r="AD41" s="1278">
        <v>4</v>
      </c>
      <c r="AE41" s="1293">
        <f t="shared" si="0"/>
        <v>5.5</v>
      </c>
      <c r="AF41" s="1294">
        <f t="shared" si="1"/>
        <v>5.5</v>
      </c>
    </row>
    <row r="42" spans="1:32" ht="23.1" customHeight="1">
      <c r="H42" s="1328" t="s">
        <v>1036</v>
      </c>
      <c r="K42" s="84"/>
      <c r="L42" s="84"/>
      <c r="M42" s="84"/>
      <c r="N42" s="976">
        <v>0.1</v>
      </c>
      <c r="O42" s="1111">
        <v>0.1</v>
      </c>
      <c r="U42" s="536"/>
      <c r="V42" s="284"/>
      <c r="W42" s="536"/>
      <c r="X42" s="536"/>
      <c r="Y42" s="536"/>
      <c r="Z42" s="536"/>
      <c r="AA42" s="536"/>
      <c r="AB42" s="536"/>
      <c r="AC42" s="536"/>
      <c r="AD42" s="536"/>
      <c r="AE42" s="349"/>
      <c r="AF42" s="349"/>
    </row>
    <row r="43" spans="1:32" ht="33.950000000000003" customHeight="1">
      <c r="H43" s="2446" t="s">
        <v>1034</v>
      </c>
      <c r="I43" s="2446"/>
      <c r="J43" s="2446"/>
      <c r="K43" s="2446"/>
      <c r="L43" s="2446"/>
      <c r="M43" s="2446"/>
      <c r="N43" s="975">
        <f ca="1">VLOOKUP(Data!$E$9,CF_VLHSDMTL,5,0)/100</f>
        <v>0.02</v>
      </c>
      <c r="O43" s="1110">
        <f ca="1">VLOOKUP(Data!$E$9,CF_VLHSDMTL,5,0)/100</f>
        <v>0.02</v>
      </c>
      <c r="U43" s="536"/>
      <c r="V43" s="17" t="s">
        <v>1162</v>
      </c>
      <c r="W43" s="986">
        <f>P26/10^9</f>
        <v>9.8192068176331998E-2</v>
      </c>
      <c r="X43" s="536"/>
      <c r="Y43" s="536"/>
      <c r="Z43" s="536"/>
      <c r="AA43" s="536"/>
      <c r="AB43" s="536"/>
      <c r="AC43" s="536"/>
      <c r="AD43" s="536"/>
      <c r="AE43" s="349"/>
      <c r="AF43" s="349"/>
    </row>
    <row r="44" spans="1:32" ht="33.950000000000003" customHeight="1">
      <c r="H44" s="2446" t="s">
        <v>1035</v>
      </c>
      <c r="I44" s="2446"/>
      <c r="J44" s="2446"/>
      <c r="K44" s="2446"/>
      <c r="L44" s="2446"/>
      <c r="M44" s="2446"/>
      <c r="N44" s="975">
        <f>INDEX(AB62:AB63,L17)/100</f>
        <v>1.1000000000000001E-2</v>
      </c>
      <c r="O44" s="1110">
        <f>INDEX(AC62:AC63,L17)/100</f>
        <v>1.1000000000000001E-2</v>
      </c>
      <c r="V44" s="17" t="s">
        <v>1163</v>
      </c>
      <c r="W44" s="986">
        <f>P27/10^9</f>
        <v>0</v>
      </c>
      <c r="AC44" s="536"/>
      <c r="AD44" s="536"/>
      <c r="AE44" s="349"/>
      <c r="AF44" s="349"/>
    </row>
    <row r="45" spans="1:32">
      <c r="K45" s="977"/>
      <c r="L45" s="977"/>
      <c r="M45" s="977"/>
      <c r="N45" s="977"/>
      <c r="O45" s="979"/>
      <c r="P45" s="978"/>
      <c r="V45" s="536"/>
      <c r="W45" s="536"/>
      <c r="X45" s="536"/>
      <c r="Y45" s="536"/>
      <c r="Z45" s="536"/>
      <c r="AA45" s="536"/>
      <c r="AB45" s="536"/>
      <c r="AC45" s="536"/>
      <c r="AD45" s="536"/>
      <c r="AE45" s="349"/>
      <c r="AF45" s="349"/>
    </row>
    <row r="46" spans="1:32" ht="31.5" customHeight="1">
      <c r="G46" s="1304" t="s">
        <v>777</v>
      </c>
      <c r="H46" s="956"/>
      <c r="I46" s="956"/>
      <c r="J46" s="956"/>
      <c r="K46" s="957"/>
      <c r="L46" s="957"/>
      <c r="M46" s="957"/>
      <c r="N46" s="957"/>
      <c r="O46" s="958"/>
      <c r="P46" s="958"/>
      <c r="U46" s="1310" t="s">
        <v>971</v>
      </c>
      <c r="Z46" s="913" t="s">
        <v>410</v>
      </c>
      <c r="AA46" s="672"/>
    </row>
    <row r="47" spans="1:32" ht="29.25" customHeight="1">
      <c r="J47" s="1329" t="s">
        <v>2076</v>
      </c>
      <c r="K47" s="1131"/>
      <c r="L47" s="1131"/>
      <c r="M47" s="1131"/>
      <c r="N47" s="1131"/>
      <c r="O47" s="1131"/>
      <c r="P47" s="1131"/>
      <c r="U47" s="2427" t="s">
        <v>33</v>
      </c>
      <c r="V47" s="2427" t="s">
        <v>618</v>
      </c>
      <c r="W47" s="1275" t="s">
        <v>972</v>
      </c>
      <c r="X47" s="1275"/>
      <c r="Y47" s="1275"/>
      <c r="Z47" s="1275"/>
      <c r="AA47" s="672"/>
      <c r="AB47" s="1261"/>
      <c r="AC47" s="349"/>
      <c r="AD47" s="349"/>
      <c r="AE47" s="987" t="s">
        <v>409</v>
      </c>
      <c r="AF47" s="987" t="s">
        <v>408</v>
      </c>
    </row>
    <row r="48" spans="1:32" ht="37.5" customHeight="1">
      <c r="J48" s="1113" t="s">
        <v>196</v>
      </c>
      <c r="K48" s="2441" t="s">
        <v>955</v>
      </c>
      <c r="L48" s="2441"/>
      <c r="M48" s="2441"/>
      <c r="N48" s="2429" t="s">
        <v>766</v>
      </c>
      <c r="O48" s="2429"/>
      <c r="P48" s="978"/>
      <c r="U48" s="2428"/>
      <c r="V48" s="2428"/>
      <c r="W48" s="1272">
        <v>15</v>
      </c>
      <c r="X48" s="1272">
        <v>50</v>
      </c>
      <c r="Y48" s="1272">
        <v>100</v>
      </c>
      <c r="Z48" s="1273">
        <v>100</v>
      </c>
      <c r="AA48" s="672"/>
      <c r="AB48" s="1261"/>
      <c r="AC48" s="349"/>
      <c r="AD48" s="672"/>
      <c r="AE48" s="672"/>
    </row>
    <row r="49" spans="10:32">
      <c r="J49" s="1114" t="s">
        <v>73</v>
      </c>
      <c r="K49" s="2433" t="s">
        <v>956</v>
      </c>
      <c r="L49" s="2433"/>
      <c r="M49" s="2433"/>
      <c r="N49" s="2430"/>
      <c r="O49" s="2430"/>
      <c r="P49" s="978"/>
      <c r="U49" s="1218" t="s">
        <v>273</v>
      </c>
      <c r="V49" s="1218" t="s">
        <v>276</v>
      </c>
      <c r="W49" s="1218" t="s">
        <v>277</v>
      </c>
      <c r="X49" s="1218" t="s">
        <v>278</v>
      </c>
      <c r="Y49" s="1218" t="s">
        <v>279</v>
      </c>
      <c r="Z49" s="1218" t="s">
        <v>280</v>
      </c>
      <c r="AA49" s="1117" t="s">
        <v>732</v>
      </c>
      <c r="AB49" s="1117" t="s">
        <v>733</v>
      </c>
      <c r="AC49" s="349"/>
      <c r="AD49" s="672"/>
      <c r="AE49" s="672"/>
    </row>
    <row r="50" spans="10:32" ht="33" customHeight="1">
      <c r="J50" s="1112">
        <v>1</v>
      </c>
      <c r="K50" s="2435" t="s">
        <v>958</v>
      </c>
      <c r="L50" s="2436"/>
      <c r="M50" s="2437"/>
      <c r="N50" s="2425">
        <v>228500</v>
      </c>
      <c r="O50" s="2426"/>
      <c r="P50" s="978"/>
      <c r="U50" s="1271">
        <v>1</v>
      </c>
      <c r="V50" s="1280" t="s">
        <v>964</v>
      </c>
      <c r="W50" s="1271">
        <v>66</v>
      </c>
      <c r="X50" s="1271">
        <v>63</v>
      </c>
      <c r="Y50" s="1271">
        <v>60</v>
      </c>
      <c r="Z50" s="1271">
        <v>56</v>
      </c>
      <c r="AA50" s="1308">
        <f>IF($W$43&lt;=$W$48,W50,IF($W$43&lt;=$X$48,X50,IF($W$43&lt;=$Y$48,Y50,Z50)))</f>
        <v>66</v>
      </c>
      <c r="AB50" s="1294">
        <f>IF($W$44&lt;=$W$48,W50,IF($W$44&lt;=$X$48,X50,IF($W$44&lt;=$Y$48,Y50,Z50)))</f>
        <v>66</v>
      </c>
      <c r="AC50" s="349"/>
      <c r="AD50" s="672"/>
      <c r="AE50" s="350"/>
      <c r="AF50" s="349"/>
    </row>
    <row r="51" spans="10:32" ht="33">
      <c r="J51" s="1112">
        <v>2</v>
      </c>
      <c r="K51" s="2435" t="s">
        <v>959</v>
      </c>
      <c r="L51" s="2436"/>
      <c r="M51" s="2437"/>
      <c r="N51" s="2425">
        <v>237700</v>
      </c>
      <c r="O51" s="2426"/>
      <c r="P51" s="978"/>
      <c r="U51" s="1265">
        <v>2</v>
      </c>
      <c r="V51" s="1263" t="s">
        <v>965</v>
      </c>
      <c r="W51" s="1265">
        <v>51</v>
      </c>
      <c r="X51" s="1265">
        <v>48</v>
      </c>
      <c r="Y51" s="1265">
        <v>45</v>
      </c>
      <c r="Z51" s="1265">
        <v>42</v>
      </c>
      <c r="AA51" s="1308">
        <f t="shared" ref="AA51:AA53" si="2">IF($W$43&lt;=$W$48,W51,IF($W$43&lt;=$X$48,X51,IF($W$43&lt;=$Y$48,Y51,Z51)))</f>
        <v>51</v>
      </c>
      <c r="AB51" s="1294">
        <f t="shared" ref="AB51:AB54" si="3">IF($W$44&lt;=$W$48,W51,IF($W$44&lt;=$X$48,X51,IF($W$44&lt;=$Y$48,Y51,Z51)))</f>
        <v>51</v>
      </c>
      <c r="AC51" s="349"/>
      <c r="AD51" s="672"/>
      <c r="AE51" s="350"/>
      <c r="AF51" s="349"/>
    </row>
    <row r="52" spans="10:32" ht="18.75">
      <c r="J52" s="1112">
        <v>3</v>
      </c>
      <c r="K52" s="2435" t="s">
        <v>960</v>
      </c>
      <c r="L52" s="2436"/>
      <c r="M52" s="2437"/>
      <c r="N52" s="2425">
        <v>259000</v>
      </c>
      <c r="O52" s="2426"/>
      <c r="P52" s="978"/>
      <c r="U52" s="1265">
        <v>3</v>
      </c>
      <c r="V52" s="1263" t="s">
        <v>968</v>
      </c>
      <c r="W52" s="1265">
        <v>65</v>
      </c>
      <c r="X52" s="1265">
        <v>62</v>
      </c>
      <c r="Y52" s="1265">
        <v>59</v>
      </c>
      <c r="Z52" s="1265">
        <v>55</v>
      </c>
      <c r="AA52" s="1308">
        <f t="shared" si="2"/>
        <v>65</v>
      </c>
      <c r="AB52" s="1294">
        <f t="shared" si="3"/>
        <v>65</v>
      </c>
      <c r="AC52" s="349"/>
      <c r="AD52" s="672"/>
      <c r="AE52" s="350"/>
      <c r="AF52" s="349"/>
    </row>
    <row r="53" spans="10:32" ht="33">
      <c r="J53" s="1112">
        <v>4</v>
      </c>
      <c r="K53" s="2438" t="s">
        <v>961</v>
      </c>
      <c r="L53" s="2439"/>
      <c r="M53" s="2440"/>
      <c r="N53" s="2425">
        <v>249900</v>
      </c>
      <c r="O53" s="2426"/>
      <c r="P53" s="978"/>
      <c r="U53" s="1265">
        <v>4</v>
      </c>
      <c r="V53" s="1263" t="s">
        <v>969</v>
      </c>
      <c r="W53" s="1265">
        <v>65</v>
      </c>
      <c r="X53" s="1265">
        <v>62</v>
      </c>
      <c r="Y53" s="1265">
        <v>59</v>
      </c>
      <c r="Z53" s="1265">
        <v>55</v>
      </c>
      <c r="AA53" s="1308">
        <f t="shared" si="2"/>
        <v>65</v>
      </c>
      <c r="AB53" s="1294">
        <f t="shared" si="3"/>
        <v>65</v>
      </c>
      <c r="AC53" s="349"/>
      <c r="AD53" s="672"/>
      <c r="AE53" s="350"/>
      <c r="AF53" s="349"/>
    </row>
    <row r="54" spans="10:32" ht="19.5" customHeight="1">
      <c r="J54" s="1114" t="s">
        <v>75</v>
      </c>
      <c r="K54" s="2433" t="s">
        <v>767</v>
      </c>
      <c r="L54" s="2433"/>
      <c r="M54" s="2433"/>
      <c r="N54" s="2425">
        <v>260900</v>
      </c>
      <c r="O54" s="2426"/>
      <c r="P54" s="978"/>
      <c r="R54" s="672"/>
      <c r="T54" s="672"/>
      <c r="U54" s="1268">
        <v>5</v>
      </c>
      <c r="V54" s="1269" t="s">
        <v>970</v>
      </c>
      <c r="W54" s="1268">
        <v>65</v>
      </c>
      <c r="X54" s="1268">
        <v>62</v>
      </c>
      <c r="Y54" s="1268">
        <v>59</v>
      </c>
      <c r="Z54" s="1268">
        <v>55</v>
      </c>
      <c r="AA54" s="1308">
        <f>IF($W$43&lt;=$W$48,W54,IF($W$43&lt;=$X$48,X54,IF($W$43&lt;=$Y$48,Y54,Z54)))</f>
        <v>65</v>
      </c>
      <c r="AB54" s="1294">
        <f t="shared" si="3"/>
        <v>65</v>
      </c>
      <c r="AC54" s="349"/>
      <c r="AD54" s="672"/>
      <c r="AE54" s="350"/>
      <c r="AF54" s="349"/>
    </row>
    <row r="55" spans="10:32" ht="18.75">
      <c r="J55" s="1115" t="s">
        <v>77</v>
      </c>
      <c r="K55" s="2424" t="s">
        <v>957</v>
      </c>
      <c r="L55" s="2424"/>
      <c r="M55" s="2424"/>
      <c r="N55" s="2425"/>
      <c r="O55" s="2426"/>
      <c r="P55" s="978"/>
      <c r="R55" s="672"/>
      <c r="T55" s="672"/>
    </row>
    <row r="56" spans="10:32" ht="18.75">
      <c r="J56" s="1112">
        <v>1</v>
      </c>
      <c r="K56" s="2435" t="s">
        <v>958</v>
      </c>
      <c r="L56" s="2436"/>
      <c r="M56" s="2437"/>
      <c r="N56" s="2431"/>
      <c r="O56" s="2432"/>
      <c r="P56" s="978"/>
      <c r="R56" s="672"/>
      <c r="T56" s="672"/>
    </row>
    <row r="57" spans="10:32" ht="18.75">
      <c r="J57" s="1112">
        <v>2</v>
      </c>
      <c r="K57" s="2435" t="s">
        <v>959</v>
      </c>
      <c r="L57" s="2436"/>
      <c r="M57" s="2437"/>
      <c r="N57" s="2431"/>
      <c r="O57" s="2432"/>
      <c r="P57" s="978"/>
      <c r="R57" s="672"/>
      <c r="T57" s="672"/>
      <c r="V57" s="914"/>
      <c r="W57" s="914"/>
      <c r="X57" s="914"/>
      <c r="Y57" s="914"/>
      <c r="Z57" s="914"/>
      <c r="AA57" s="914"/>
      <c r="AB57" s="914"/>
      <c r="AC57" s="914"/>
      <c r="AD57" s="985"/>
    </row>
    <row r="58" spans="10:32" ht="18.75">
      <c r="J58" s="1112">
        <v>3</v>
      </c>
      <c r="K58" s="2435" t="s">
        <v>960</v>
      </c>
      <c r="L58" s="2436"/>
      <c r="M58" s="2437"/>
      <c r="N58" s="2431"/>
      <c r="O58" s="2432"/>
      <c r="P58" s="978"/>
      <c r="R58" s="672"/>
      <c r="T58" s="672"/>
      <c r="U58" s="1310" t="s">
        <v>974</v>
      </c>
      <c r="AA58" s="913" t="s">
        <v>410</v>
      </c>
    </row>
    <row r="59" spans="10:32" ht="19.5" customHeight="1">
      <c r="J59" s="1112">
        <v>4</v>
      </c>
      <c r="K59" s="2438" t="s">
        <v>961</v>
      </c>
      <c r="L59" s="2439"/>
      <c r="M59" s="2440"/>
      <c r="N59" s="2431"/>
      <c r="O59" s="2432"/>
      <c r="P59" s="978"/>
      <c r="R59" s="672"/>
      <c r="T59" s="672"/>
      <c r="U59" s="2434" t="s">
        <v>33</v>
      </c>
      <c r="V59" s="2434" t="s">
        <v>618</v>
      </c>
      <c r="W59" s="1275" t="s">
        <v>975</v>
      </c>
      <c r="X59" s="1275"/>
      <c r="Y59" s="1275"/>
      <c r="Z59" s="1275"/>
      <c r="AA59" s="1275"/>
    </row>
    <row r="60" spans="10:32" ht="18.75">
      <c r="J60" s="1115" t="s">
        <v>80</v>
      </c>
      <c r="K60" s="2424" t="s">
        <v>768</v>
      </c>
      <c r="L60" s="2424"/>
      <c r="M60" s="2424"/>
      <c r="N60" s="2425">
        <v>544300</v>
      </c>
      <c r="O60" s="2426"/>
      <c r="P60" s="978"/>
      <c r="R60" s="672"/>
      <c r="T60" s="672"/>
      <c r="U60" s="2434"/>
      <c r="V60" s="2434"/>
      <c r="W60" s="1272">
        <v>15</v>
      </c>
      <c r="X60" s="1272">
        <v>100</v>
      </c>
      <c r="Y60" s="1272">
        <v>500</v>
      </c>
      <c r="Z60" s="1272">
        <v>1000</v>
      </c>
      <c r="AA60" s="1273">
        <v>1000</v>
      </c>
    </row>
    <row r="61" spans="10:32" ht="18.75">
      <c r="J61" s="1115" t="s">
        <v>769</v>
      </c>
      <c r="K61" s="2424" t="s">
        <v>999</v>
      </c>
      <c r="L61" s="2424"/>
      <c r="M61" s="2424"/>
      <c r="N61" s="2425">
        <v>388900</v>
      </c>
      <c r="O61" s="2426"/>
      <c r="P61" s="978"/>
      <c r="R61" s="672"/>
      <c r="T61" s="672"/>
      <c r="U61" s="1218" t="s">
        <v>273</v>
      </c>
      <c r="V61" s="1218" t="s">
        <v>276</v>
      </c>
      <c r="W61" s="1218" t="s">
        <v>277</v>
      </c>
      <c r="X61" s="1282" t="s">
        <v>278</v>
      </c>
      <c r="Y61" s="1282" t="s">
        <v>279</v>
      </c>
      <c r="Z61" s="1282" t="s">
        <v>280</v>
      </c>
      <c r="AA61" s="1282" t="s">
        <v>282</v>
      </c>
      <c r="AB61" s="1117" t="s">
        <v>734</v>
      </c>
      <c r="AC61" s="1117" t="s">
        <v>735</v>
      </c>
    </row>
    <row r="62" spans="10:32" ht="18.75">
      <c r="J62" s="1115" t="s">
        <v>770</v>
      </c>
      <c r="K62" s="2424" t="s">
        <v>1000</v>
      </c>
      <c r="L62" s="2424"/>
      <c r="M62" s="2424"/>
      <c r="N62" s="2425">
        <v>385800</v>
      </c>
      <c r="O62" s="2426"/>
      <c r="P62" s="978"/>
      <c r="R62" s="672"/>
      <c r="T62" s="672"/>
      <c r="U62" s="1279">
        <v>1</v>
      </c>
      <c r="V62" s="1281" t="s">
        <v>726</v>
      </c>
      <c r="W62" s="1284">
        <v>2.2000000000000002</v>
      </c>
      <c r="X62" s="1284">
        <v>2</v>
      </c>
      <c r="Y62" s="1284">
        <v>1.9</v>
      </c>
      <c r="Z62" s="1284">
        <v>1.8</v>
      </c>
      <c r="AA62" s="1284">
        <v>1.7</v>
      </c>
      <c r="AB62" s="1295">
        <f>IF($W$26&lt;=$W$60,W62,IF($W$26&lt;=$X$60,X62,IF($W$26&lt;=$Y$60,Y62,IF($W$26&lt;=$Z$60,Z62,AA62))))</f>
        <v>2.2000000000000002</v>
      </c>
      <c r="AC62" s="1294">
        <f>IF($W$27&lt;=$W$60,W62,IF($W$27&lt;=$X$60,X62,IF($W$27&lt;=$Y$60,Y62,IF($W$27&lt;=$Z$60,Z62,AA62))))</f>
        <v>2.2000000000000002</v>
      </c>
    </row>
    <row r="63" spans="10:32" ht="18.75">
      <c r="J63" s="1115" t="s">
        <v>771</v>
      </c>
      <c r="K63" s="2424" t="s">
        <v>772</v>
      </c>
      <c r="L63" s="2424"/>
      <c r="M63" s="2424"/>
      <c r="N63" s="2425">
        <v>320300</v>
      </c>
      <c r="O63" s="2426"/>
      <c r="P63" s="978"/>
      <c r="R63" s="672"/>
      <c r="T63" s="672"/>
      <c r="U63" s="293">
        <v>2</v>
      </c>
      <c r="V63" s="279" t="s">
        <v>727</v>
      </c>
      <c r="W63" s="1285">
        <v>1.1000000000000001</v>
      </c>
      <c r="X63" s="1285">
        <v>1</v>
      </c>
      <c r="Y63" s="1283">
        <v>0.95</v>
      </c>
      <c r="Z63" s="1285">
        <v>0.9</v>
      </c>
      <c r="AA63" s="1283">
        <v>0.85</v>
      </c>
      <c r="AB63" s="1295">
        <f>IF($W$26&lt;=$W$60,W63,IF($W$26&lt;=$X$60,X63,IF($W$26&lt;=$Y$60,Y63,IF($W$26&lt;=$Z$60,Z63,AA63))))</f>
        <v>1.1000000000000001</v>
      </c>
      <c r="AC63" s="1294">
        <f>IF($W$27&lt;=$W$60,W63,IF($W$27&lt;=$X$60,X63,IF($W$27&lt;=$Y$60,Y63,IF($W$27&lt;=$Z$60,Z63,AA63))))</f>
        <v>1.1000000000000001</v>
      </c>
    </row>
    <row r="64" spans="10:32" ht="18.75">
      <c r="J64" s="1115" t="s">
        <v>773</v>
      </c>
      <c r="K64" s="2424" t="s">
        <v>774</v>
      </c>
      <c r="L64" s="2424"/>
      <c r="M64" s="2424"/>
      <c r="N64" s="2425">
        <v>320300</v>
      </c>
      <c r="O64" s="2426"/>
      <c r="P64" s="978"/>
      <c r="R64" s="672"/>
      <c r="T64" s="672"/>
      <c r="U64" s="672"/>
      <c r="V64" s="672"/>
      <c r="W64" s="672"/>
      <c r="X64" s="672"/>
      <c r="Y64" s="672"/>
      <c r="Z64" s="672"/>
      <c r="AA64" s="672"/>
      <c r="AB64" s="672"/>
      <c r="AC64" s="672"/>
      <c r="AD64" s="672"/>
      <c r="AE64" s="672"/>
      <c r="AF64" s="672"/>
    </row>
    <row r="65" spans="7:32" ht="18.75">
      <c r="J65" s="1115" t="s">
        <v>775</v>
      </c>
      <c r="K65" s="2424" t="s">
        <v>797</v>
      </c>
      <c r="L65" s="2424"/>
      <c r="M65" s="2424"/>
      <c r="N65" s="2425"/>
      <c r="O65" s="2426"/>
      <c r="P65" s="978"/>
      <c r="R65" s="988"/>
      <c r="T65" s="988"/>
      <c r="U65" s="672"/>
      <c r="V65" s="672"/>
      <c r="W65" s="672"/>
      <c r="X65" s="672"/>
      <c r="Y65" s="672"/>
      <c r="Z65" s="672"/>
      <c r="AA65" s="672"/>
      <c r="AB65" s="672"/>
      <c r="AC65" s="672"/>
      <c r="AD65" s="672"/>
      <c r="AE65" s="672"/>
      <c r="AF65" s="672"/>
    </row>
    <row r="66" spans="7:32" ht="18.75">
      <c r="J66" s="1115" t="s">
        <v>998</v>
      </c>
      <c r="K66" s="2424" t="s">
        <v>776</v>
      </c>
      <c r="L66" s="2424"/>
      <c r="M66" s="2424"/>
      <c r="N66" s="2425">
        <v>578900</v>
      </c>
      <c r="O66" s="2426"/>
      <c r="P66" s="978"/>
      <c r="R66" s="988"/>
      <c r="T66" s="988"/>
      <c r="U66" s="672"/>
      <c r="V66" s="672"/>
      <c r="W66" s="672"/>
      <c r="X66" s="672"/>
      <c r="Y66" s="672"/>
      <c r="Z66" s="672"/>
      <c r="AA66" s="672"/>
      <c r="AB66" s="672"/>
      <c r="AC66" s="672"/>
      <c r="AD66" s="672"/>
      <c r="AE66" s="672"/>
      <c r="AF66" s="672"/>
    </row>
    <row r="67" spans="7:32" ht="18.75">
      <c r="J67" s="1326" t="s">
        <v>1029</v>
      </c>
      <c r="K67" s="2442" t="s">
        <v>1030</v>
      </c>
      <c r="L67" s="2442"/>
      <c r="M67" s="2442"/>
      <c r="N67" s="2443">
        <f>N53</f>
        <v>249900</v>
      </c>
      <c r="O67" s="2444"/>
      <c r="P67" s="978"/>
      <c r="R67" s="988"/>
      <c r="T67" s="988"/>
      <c r="U67" s="672"/>
      <c r="V67" s="672"/>
      <c r="W67" s="672"/>
      <c r="X67" s="672"/>
      <c r="Y67" s="672"/>
      <c r="Z67" s="672"/>
      <c r="AA67" s="672"/>
      <c r="AB67" s="672"/>
      <c r="AC67" s="672"/>
      <c r="AD67" s="672"/>
      <c r="AE67" s="672"/>
      <c r="AF67" s="672"/>
    </row>
    <row r="68" spans="7:32" ht="34.5" customHeight="1">
      <c r="L68" s="965"/>
      <c r="M68" s="965"/>
      <c r="N68" s="973"/>
      <c r="O68" s="980"/>
      <c r="P68" s="978"/>
      <c r="R68" s="988"/>
      <c r="T68" s="988"/>
      <c r="U68" s="988"/>
      <c r="V68" s="988"/>
      <c r="W68" s="988"/>
      <c r="X68" s="988"/>
      <c r="Y68" s="79"/>
      <c r="Z68" s="79"/>
      <c r="AA68" s="79"/>
      <c r="AB68" s="79"/>
      <c r="AC68" s="79"/>
      <c r="AD68" s="79"/>
      <c r="AE68" s="79"/>
      <c r="AF68" s="79"/>
    </row>
    <row r="69" spans="7:32" ht="20.25">
      <c r="G69" s="1304" t="s">
        <v>671</v>
      </c>
      <c r="H69" s="956"/>
      <c r="I69" s="956"/>
      <c r="J69" s="956"/>
      <c r="K69" s="957"/>
      <c r="L69" s="957"/>
      <c r="M69" s="957"/>
      <c r="N69" s="957"/>
      <c r="O69" s="958"/>
      <c r="P69" s="958"/>
      <c r="R69" s="988"/>
      <c r="T69" s="988"/>
      <c r="U69" s="988"/>
      <c r="W69" s="988"/>
      <c r="X69" s="988"/>
      <c r="AA69" s="79"/>
      <c r="AB69" s="79"/>
      <c r="AC69" s="79"/>
      <c r="AD69" s="79"/>
      <c r="AE69" s="672"/>
      <c r="AF69" s="349"/>
    </row>
    <row r="70" spans="7:32">
      <c r="L70" s="965"/>
      <c r="M70" s="965"/>
      <c r="P70" s="978"/>
      <c r="R70" s="988"/>
      <c r="T70" s="988"/>
      <c r="U70" s="988"/>
      <c r="W70" s="988"/>
      <c r="X70" s="988"/>
      <c r="AA70" s="79"/>
      <c r="AB70" s="79"/>
      <c r="AC70" s="79"/>
      <c r="AD70" s="79"/>
      <c r="AE70" s="672"/>
    </row>
    <row r="71" spans="7:32">
      <c r="H71" s="965"/>
      <c r="I71" s="1330" t="s">
        <v>387</v>
      </c>
      <c r="N71" s="1116">
        <f>20120/1.1</f>
        <v>18290.909090909088</v>
      </c>
      <c r="O71" s="980" t="s">
        <v>672</v>
      </c>
      <c r="P71" s="978"/>
      <c r="R71" s="988"/>
      <c r="T71" s="988"/>
      <c r="U71" s="988"/>
      <c r="V71" s="988"/>
      <c r="W71" s="988"/>
      <c r="X71" s="988"/>
      <c r="AA71" s="79"/>
      <c r="AB71" s="79"/>
      <c r="AC71" s="79"/>
      <c r="AD71" s="79"/>
      <c r="AE71" s="672"/>
    </row>
    <row r="72" spans="7:32">
      <c r="H72" s="965"/>
      <c r="I72" s="79" t="s">
        <v>388</v>
      </c>
      <c r="N72" s="1116">
        <f>18680/1.1</f>
        <v>16981.81818181818</v>
      </c>
      <c r="O72" s="980" t="s">
        <v>672</v>
      </c>
      <c r="P72" s="961"/>
      <c r="R72" s="988"/>
      <c r="T72" s="988"/>
      <c r="U72" s="988"/>
      <c r="V72" s="988"/>
      <c r="W72" s="988"/>
      <c r="X72" s="988"/>
      <c r="AA72" s="79"/>
      <c r="AB72" s="79"/>
      <c r="AC72" s="79"/>
      <c r="AD72" s="79"/>
    </row>
    <row r="73" spans="7:32">
      <c r="I73" s="79" t="s">
        <v>389</v>
      </c>
      <c r="N73" s="1352">
        <v>1896</v>
      </c>
      <c r="O73" s="980" t="s">
        <v>673</v>
      </c>
      <c r="P73" s="961"/>
      <c r="R73" s="988"/>
      <c r="T73" s="988"/>
      <c r="U73" s="988"/>
      <c r="V73" s="988"/>
      <c r="W73" s="988"/>
      <c r="X73" s="988"/>
      <c r="AA73" s="79"/>
      <c r="AB73" s="79"/>
      <c r="AC73" s="79"/>
      <c r="AD73" s="79"/>
    </row>
    <row r="74" spans="7:32">
      <c r="I74" s="79" t="s">
        <v>674</v>
      </c>
      <c r="N74" s="1116">
        <f>13970/1.1</f>
        <v>12699.999999999998</v>
      </c>
      <c r="O74" s="980" t="s">
        <v>672</v>
      </c>
      <c r="P74" s="981"/>
      <c r="R74" s="988"/>
      <c r="T74" s="988"/>
      <c r="U74" s="988"/>
      <c r="V74" s="988"/>
      <c r="W74" s="988"/>
      <c r="X74" s="988"/>
      <c r="AA74" s="79"/>
      <c r="AB74" s="79"/>
      <c r="AC74" s="79"/>
      <c r="AD74" s="79"/>
    </row>
    <row r="75" spans="7:32">
      <c r="R75" s="988"/>
      <c r="T75" s="988"/>
      <c r="U75" s="988"/>
      <c r="W75" s="988"/>
      <c r="X75" s="988"/>
      <c r="AA75" s="79"/>
      <c r="AB75" s="79"/>
      <c r="AC75" s="79"/>
      <c r="AD75" s="79"/>
    </row>
    <row r="76" spans="7:32">
      <c r="R76" s="988"/>
      <c r="T76" s="988"/>
      <c r="U76" s="988"/>
      <c r="V76" s="985"/>
      <c r="W76" s="988"/>
      <c r="X76" s="988"/>
      <c r="AA76" s="79"/>
      <c r="AB76" s="79"/>
      <c r="AC76" s="79"/>
      <c r="AD76" s="79"/>
    </row>
    <row r="77" spans="7:32" ht="23.1" customHeight="1">
      <c r="R77" s="988"/>
      <c r="T77" s="988"/>
      <c r="U77" s="988"/>
      <c r="W77" s="988"/>
      <c r="X77" s="988"/>
      <c r="AA77" s="79"/>
      <c r="AB77" s="79"/>
      <c r="AC77" s="79"/>
      <c r="AD77" s="79"/>
    </row>
    <row r="78" spans="7:32" ht="23.1" customHeight="1">
      <c r="R78" s="988"/>
      <c r="T78" s="988"/>
      <c r="U78" s="988"/>
      <c r="V78" s="988"/>
      <c r="W78" s="988"/>
      <c r="X78" s="988"/>
      <c r="AA78" s="79"/>
      <c r="AB78" s="79"/>
      <c r="AC78" s="79"/>
      <c r="AD78" s="79"/>
    </row>
    <row r="79" spans="7:32">
      <c r="R79" s="988"/>
      <c r="T79" s="988"/>
      <c r="U79" s="988"/>
      <c r="V79" s="988"/>
      <c r="W79" s="988"/>
      <c r="X79" s="988"/>
      <c r="AA79" s="79"/>
      <c r="AB79" s="79"/>
      <c r="AC79" s="79"/>
      <c r="AD79" s="79"/>
    </row>
    <row r="80" spans="7:32">
      <c r="R80" s="985"/>
      <c r="T80" s="985"/>
      <c r="U80" s="988"/>
      <c r="V80" s="988"/>
      <c r="W80" s="988"/>
      <c r="X80" s="988"/>
      <c r="AA80" s="79"/>
      <c r="AB80" s="79"/>
      <c r="AC80" s="79"/>
      <c r="AD80" s="985"/>
    </row>
    <row r="81" spans="18:30">
      <c r="R81" s="985"/>
      <c r="T81" s="985"/>
      <c r="U81" s="988"/>
      <c r="V81" s="988"/>
      <c r="W81" s="988"/>
      <c r="X81" s="988"/>
      <c r="AA81" s="79"/>
      <c r="AB81" s="79"/>
      <c r="AC81" s="79"/>
      <c r="AD81" s="985"/>
    </row>
    <row r="82" spans="18:30">
      <c r="R82" s="988"/>
      <c r="T82" s="988"/>
      <c r="U82" s="988"/>
      <c r="V82" s="988"/>
      <c r="W82" s="988"/>
      <c r="X82" s="988"/>
      <c r="AA82" s="79"/>
      <c r="AB82" s="79"/>
      <c r="AC82" s="79"/>
      <c r="AD82" s="985"/>
    </row>
    <row r="83" spans="18:30">
      <c r="R83" s="985"/>
      <c r="T83" s="985"/>
      <c r="U83" s="985"/>
      <c r="V83" s="985"/>
      <c r="W83" s="988"/>
      <c r="X83" s="988"/>
      <c r="AA83" s="79"/>
      <c r="AB83" s="79"/>
      <c r="AC83" s="79"/>
      <c r="AD83" s="985"/>
    </row>
    <row r="84" spans="18:30">
      <c r="R84" s="985"/>
      <c r="T84" s="985"/>
      <c r="U84" s="985"/>
      <c r="V84" s="985"/>
      <c r="W84" s="988"/>
      <c r="X84" s="988"/>
      <c r="AA84" s="79"/>
      <c r="AB84" s="79"/>
      <c r="AC84" s="79"/>
      <c r="AD84" s="79"/>
    </row>
    <row r="85" spans="18:30">
      <c r="R85" s="985"/>
      <c r="T85" s="985"/>
      <c r="U85" s="988"/>
      <c r="V85" s="988"/>
      <c r="W85" s="985"/>
      <c r="X85" s="985"/>
      <c r="AA85" s="79"/>
      <c r="AB85" s="79"/>
      <c r="AC85" s="79"/>
      <c r="AD85" s="79"/>
    </row>
    <row r="86" spans="18:30">
      <c r="R86" s="985"/>
      <c r="T86" s="985"/>
      <c r="U86" s="985"/>
      <c r="V86" s="985"/>
      <c r="W86" s="985"/>
      <c r="X86" s="985"/>
      <c r="AA86" s="79"/>
      <c r="AB86" s="79"/>
      <c r="AC86" s="79"/>
      <c r="AD86" s="985"/>
    </row>
    <row r="87" spans="18:30">
      <c r="R87" s="985"/>
      <c r="T87" s="985"/>
      <c r="U87" s="985"/>
      <c r="V87" s="985"/>
      <c r="W87" s="988"/>
      <c r="X87" s="988"/>
      <c r="AA87" s="79"/>
      <c r="AB87" s="79"/>
      <c r="AC87" s="79"/>
      <c r="AD87" s="985"/>
    </row>
    <row r="88" spans="18:30">
      <c r="R88" s="985"/>
      <c r="T88" s="985"/>
      <c r="U88" s="985"/>
      <c r="V88" s="985"/>
      <c r="W88" s="985"/>
      <c r="X88" s="985"/>
      <c r="AA88" s="79"/>
      <c r="AB88" s="79"/>
      <c r="AC88" s="79"/>
      <c r="AD88" s="985"/>
    </row>
    <row r="89" spans="18:30">
      <c r="R89" s="988"/>
      <c r="T89" s="988"/>
      <c r="U89" s="985"/>
      <c r="V89" s="985"/>
      <c r="W89" s="985"/>
      <c r="X89" s="985"/>
      <c r="Y89" s="989"/>
      <c r="Z89" s="989"/>
      <c r="AA89" s="79"/>
      <c r="AB89" s="79"/>
      <c r="AC89" s="79"/>
      <c r="AD89" s="985"/>
    </row>
    <row r="91" spans="18:30" ht="18.75" customHeight="1"/>
    <row r="92" spans="18:30" ht="19.5" customHeight="1"/>
    <row r="97" spans="21:32" ht="18.75" customHeight="1"/>
    <row r="98" spans="21:32">
      <c r="U98"/>
    </row>
    <row r="99" spans="21:32">
      <c r="U99"/>
    </row>
    <row r="100" spans="21:32">
      <c r="U100"/>
      <c r="AE100" s="25"/>
      <c r="AF100" s="25"/>
    </row>
    <row r="101" spans="21:32">
      <c r="U101"/>
      <c r="AE101" s="1104"/>
      <c r="AF101" s="1104"/>
    </row>
    <row r="102" spans="21:32" ht="18.600000000000001" customHeight="1">
      <c r="U102"/>
    </row>
    <row r="103" spans="21:32">
      <c r="U103"/>
    </row>
  </sheetData>
  <dataConsolidate link="1"/>
  <mergeCells count="49">
    <mergeCell ref="K67:M67"/>
    <mergeCell ref="N67:O67"/>
    <mergeCell ref="A15:F15"/>
    <mergeCell ref="V59:V60"/>
    <mergeCell ref="H43:M43"/>
    <mergeCell ref="H44:M44"/>
    <mergeCell ref="K65:M65"/>
    <mergeCell ref="K61:M61"/>
    <mergeCell ref="K62:M62"/>
    <mergeCell ref="K63:M63"/>
    <mergeCell ref="K64:M64"/>
    <mergeCell ref="K56:M56"/>
    <mergeCell ref="K57:M57"/>
    <mergeCell ref="K58:M58"/>
    <mergeCell ref="K59:M59"/>
    <mergeCell ref="K60:M60"/>
    <mergeCell ref="N65:O65"/>
    <mergeCell ref="K48:M48"/>
    <mergeCell ref="N60:O60"/>
    <mergeCell ref="N63:O63"/>
    <mergeCell ref="N58:O58"/>
    <mergeCell ref="N61:O61"/>
    <mergeCell ref="U30:U31"/>
    <mergeCell ref="K54:M54"/>
    <mergeCell ref="K55:M55"/>
    <mergeCell ref="N59:O59"/>
    <mergeCell ref="U59:U60"/>
    <mergeCell ref="K49:M49"/>
    <mergeCell ref="K50:M50"/>
    <mergeCell ref="K51:M51"/>
    <mergeCell ref="K52:M52"/>
    <mergeCell ref="K53:M53"/>
    <mergeCell ref="N54:O54"/>
    <mergeCell ref="K66:M66"/>
    <mergeCell ref="N66:O66"/>
    <mergeCell ref="V30:V31"/>
    <mergeCell ref="U47:U48"/>
    <mergeCell ref="V47:V48"/>
    <mergeCell ref="N64:O64"/>
    <mergeCell ref="N55:O55"/>
    <mergeCell ref="N53:O53"/>
    <mergeCell ref="N48:O48"/>
    <mergeCell ref="N49:O49"/>
    <mergeCell ref="N50:O50"/>
    <mergeCell ref="N51:O51"/>
    <mergeCell ref="N52:O52"/>
    <mergeCell ref="N56:O56"/>
    <mergeCell ref="N57:O57"/>
    <mergeCell ref="N62:O62"/>
  </mergeCells>
  <phoneticPr fontId="60" type="noConversion"/>
  <dataValidations xWindow="787" yWindow="508" count="15">
    <dataValidation allowBlank="1" showInputMessage="1" showErrorMessage="1" promptTitle="Giá điện" prompt="Quyết định số 1062/QĐ-BCT ngày 04/05/2023 của Bộ Công thương về điều chỉnh mức giá bán lẻ điện bình quân và quy định giá bán điện" sqref="N73"/>
    <dataValidation allowBlank="1" showInputMessage="1" showErrorMessage="1" promptTitle="Giá nhiên liệu" prompt="Tham khảo trên website http://petrolimex.com.vn_x000a_Và loại nào thì tham khảo bảng giá ca máy địa phương" sqref="N74 N71:N72"/>
    <dataValidation allowBlank="1" showInputMessage="1" showErrorMessage="1" promptTitle="Hãy nhập tên công trình vào đây." prompt="Khi nhập vào đây sẽ hiển thị tại tiêu đề của tất cả các bảng khác, kể cả bìa, thuyết minh._x000a_Nên nhập CHỮ IN HOA." sqref="M4:N4"/>
    <dataValidation allowBlank="1" showInputMessage="1" showErrorMessage="1" prompt="Hãy nhập tên Chủ đầu tư vào đây. NHẬP BẰNG CHỮ IN HOA." sqref="M7:N7"/>
    <dataValidation allowBlank="1" showInputMessage="1" showErrorMessage="1" prompt="Nhập địa điểm xây dựng công trình vào đây. DÙNG CHỮ IN HOA." sqref="M6:N6"/>
    <dataValidation allowBlank="1" showErrorMessage="1" promptTitle="Mục 1.1.5, Điều 7, TT04/2010" prompt="2% đối với các công trình đi theo tuyến như đường dây tải điện, đường dây thông tin bưu điện, đường giao thông, kênh mương, đường ống, các công trình thi công dạng tuyến khác và bằng tỷ lệ 1% đối với các công trình còn lại" sqref="O45"/>
    <dataValidation allowBlank="1" showInputMessage="1" showErrorMessage="1" promptTitle="Hãy nhập tên hạng mục vào đây" prompt="Khi nhập vào đây sẽ hiển thị tại tiêu đề của tất cả các bảng khác, kể cả bìa, thuyết minh._x000a_Nên nhập CHỮ IN HOA." sqref="M5:N5"/>
    <dataValidation allowBlank="1" showInputMessage="1" showErrorMessage="1" promptTitle="Dự toán GXD10" prompt="Một trong các sản phẩm GXD dự thi Nhân tài đất Việt 2015" sqref="H1"/>
    <dataValidation allowBlank="1" showInputMessage="1" showErrorMessage="1" sqref="K5:L7"/>
    <dataValidation allowBlank="1" showInputMessage="1" showErrorMessage="1" prompt="Khi lập dự toán đã có quyết định phê duyệt Tổng mức đầu tư. Hãy tìm quyết định đó, tra giá trị Tổng mức đầu tư và nhập vào đây để tính toán." sqref="N31"/>
    <dataValidation allowBlank="1" showInputMessage="1" showErrorMessage="1" prompt="Trước thuế" sqref="M24:O24"/>
    <dataValidation allowBlank="1" showInputMessage="1" showErrorMessage="1" prompt="Bảng 3.5, Thông tư số 11/2021/TT-BXD" sqref="N41:O41"/>
    <dataValidation allowBlank="1" showInputMessage="1" showErrorMessage="1" prompt="Bảng 3.1 và 3.2, Thông tư số 11/2021/TT-BXD" sqref="N40:O40"/>
    <dataValidation allowBlank="1" showInputMessage="1" showErrorMessage="1" prompt="Bảng 3.4, Thông tư số 11/2021/TT-BXD" sqref="N43:O43"/>
    <dataValidation allowBlank="1" showInputMessage="1" showErrorMessage="1" prompt="Bảng 3.3, Thông tư số 11/2021/TT-BXD" sqref="N44:O44"/>
  </dataValidations>
  <hyperlinks>
    <hyperlink ref="H15" r:id="rId1" location="phu-luc-i-phan-loai-cong-trinh-theo-cong-nang-su-dung"/>
    <hyperlink ref="H17" r:id="rId2" location="_2-chi-phi-nha-tam-de-o-va-dieu-hanh-thi-cong"/>
    <hyperlink ref="H18" r:id="rId3"/>
    <hyperlink ref="H19" r:id="rId4" location="dieu-78-quy-dinh-chung-ve-thiet-ke-xay-dung"/>
    <hyperlink ref="H20" r:id="rId5" location="muc-2-lap-tham-dinh-du-an-va-quyet-dinh-dau-tu-xay-dung"/>
    <hyperlink ref="H21" r:id="rId6" location="phu-luc-ii-phuong-phap-xac-dinh-du-toan-xay-dung-cong-trinh"/>
    <hyperlink ref="U29" r:id="rId7" location="bang-3-1-dinh-muc-chi-phi-chung-tinh-tren-chi-phi-truc-tiep"/>
    <hyperlink ref="V33" r:id="rId8" location="i-cong-trinh-su-dung-cho-muc-dich-dan-dung-cong-trinh-dan-dung"/>
    <hyperlink ref="V35" r:id="rId9" location="ii-cong-trinh-su-dung-cho-muc-dich-san-xuat-cong-nghiep-cong-trinh-cong-nghiep"/>
    <hyperlink ref="V41" r:id="rId10" location="iii-cong-trinh-cung-cap-co-so-tien-ich-ha-tang-ky-thuat-cong-trinh-ha-tang-ky-thuat"/>
    <hyperlink ref="V37" r:id="rId11" location="iv-cong-trinh-phuc-vu-giao-thong-van-tai-cong-trinh-giao-thong"/>
    <hyperlink ref="V39" r:id="rId12" location="v-cong-trinh-phuc-vu-nong-nghiep-va-phat-trien-nong-thon-cong-trinh-nong-nghiep-va-phat-trien-nong-thon"/>
    <hyperlink ref="U46" r:id="rId13" location="bang-3-2-dinh-muc-chi-phi-chung-tinh-tren-chi-phi-nhan-cong"/>
    <hyperlink ref="U58" r:id="rId14" location="bang-3-3-dinh-muc-chi-phi-nha-tam-de-o-va-dieu-hanh-thi-cong"/>
    <hyperlink ref="H40" r:id="rId15" location="bang-3-1-dinh-muc-chi-phi-chung-tinh-tren-chi-phi-truc-tiep" display="https://dutoan.gxd.vn/van-ban/chi-phi/thong-tu-11-2021-TT-BXD.html - bang-3-1-dinh-muc-chi-phi-chung-tinh-tren-chi-phi-truc-tiep"/>
    <hyperlink ref="H41" r:id="rId16" location="bang-3-3-dinh-muc-chi-phi-nha-tam-de-o-va-dieu-hanh-thi-cong"/>
    <hyperlink ref="H43:M43" r:id="rId17" location="bang-3-4-dinh-muc-chi-phi-mot-so-cong-viec-khong-xac-dinh-duoc-khoi-luong-tu-thiet-ke" display="Định mức chi phí một số công tác không xác định được khối lượng từ thiết kế (CKKL)"/>
    <hyperlink ref="H44:M44" r:id="rId18" location="bang-3-3-dinh-muc-chi-phi-nha-tam-de-o-va-dieu-hanh-thi-cong" display="Định mức chi phí xây dựng nhà tạm tại hiện trường để ở và điều hành thi công (CNT)"/>
    <hyperlink ref="J47" r:id="rId19" location="bang-4-2-khung-don-gia-nhan-cong-xay-dung-binh-quan" display="Đơn giá nhân công trong bảng dưới là đơn giá bình quân theo Phụ lục IV, Thông tư số 13/2021/TT-BXD tại vùng I"/>
    <hyperlink ref="I71" r:id="rId20"/>
    <hyperlink ref="V21" r:id="rId21" location="iii-cong-trinh-cung-cap-co-so-tien-ich-ha-tang-ky-thuat-cong-trinh-ha-tang-ky-thuat"/>
    <hyperlink ref="V17" r:id="rId22" location="v-cong-trinh-phuc-vu-nong-nghiep-va-phat-trien-nong-thon-cong-trinh-nong-nghiep-va-phat-trien-nong-thon"/>
    <hyperlink ref="V13" r:id="rId23" location="iv-cong-trinh-phuc-vu-giao-thong-van-tai-cong-trinh-giao-thong"/>
    <hyperlink ref="V7" r:id="rId24" location="ii-cong-trinh-su-dung-cho-muc-dich-san-xuat-cong-nghiep-cong-trinh-cong-nghiep"/>
    <hyperlink ref="V4" r:id="rId25" location="i-cong-trinh-su-dung-cho-muc-dich-dan-dung-cong-trinh-dan-dung"/>
  </hyperlinks>
  <printOptions horizontalCentered="1"/>
  <pageMargins left="0.75" right="0" top="0.5" bottom="0.5" header="0.25" footer="0.25"/>
  <pageSetup paperSize="9" scale="85" orientation="portrait" blackAndWhite="1" horizontalDpi="300" verticalDpi="300" r:id="rId26"/>
  <headerFooter>
    <oddFooter>&amp;LDự toán GXD&amp;C&amp;P</oddFooter>
  </headerFooter>
  <ignoredErrors>
    <ignoredError sqref="O45:P45 O55 O60 O50 O54 O61 N40:N41 N43:N44 O40:O41 O43:O44 N67 P26:P27 H40 M26 M27 M32" unlockedFormula="1"/>
  </ignoredErrors>
  <drawing r:id="rId27"/>
  <legacyDrawing r:id="rId28"/>
  <mc:AlternateContent xmlns:mc="http://schemas.openxmlformats.org/markup-compatibility/2006">
    <mc:Choice Requires="x14">
      <controls>
        <mc:AlternateContent xmlns:mc="http://schemas.openxmlformats.org/markup-compatibility/2006">
          <mc:Choice Requires="x14">
            <control shapeId="68609" r:id="rId29" name="Drop Down 1">
              <controlPr defaultSize="0" autoLine="0" autoPict="0">
                <anchor moveWithCells="1">
                  <from>
                    <xdr:col>11</xdr:col>
                    <xdr:colOff>9525</xdr:colOff>
                    <xdr:row>14</xdr:row>
                    <xdr:rowOff>0</xdr:rowOff>
                  </from>
                  <to>
                    <xdr:col>13</xdr:col>
                    <xdr:colOff>1457325</xdr:colOff>
                    <xdr:row>14</xdr:row>
                    <xdr:rowOff>342900</xdr:rowOff>
                  </to>
                </anchor>
              </controlPr>
            </control>
          </mc:Choice>
        </mc:AlternateContent>
        <mc:AlternateContent xmlns:mc="http://schemas.openxmlformats.org/markup-compatibility/2006">
          <mc:Choice Requires="x14">
            <control shapeId="68611" r:id="rId30" name="Drop Down 3">
              <controlPr defaultSize="0" autoFill="0" autoLine="0" autoPict="0">
                <anchor moveWithCells="1">
                  <from>
                    <xdr:col>11</xdr:col>
                    <xdr:colOff>9525</xdr:colOff>
                    <xdr:row>14</xdr:row>
                    <xdr:rowOff>409575</xdr:rowOff>
                  </from>
                  <to>
                    <xdr:col>13</xdr:col>
                    <xdr:colOff>1457325</xdr:colOff>
                    <xdr:row>15</xdr:row>
                    <xdr:rowOff>342900</xdr:rowOff>
                  </to>
                </anchor>
              </controlPr>
            </control>
          </mc:Choice>
        </mc:AlternateContent>
        <mc:AlternateContent xmlns:mc="http://schemas.openxmlformats.org/markup-compatibility/2006">
          <mc:Choice Requires="x14">
            <control shapeId="68612" r:id="rId31" name="Drop Down 4">
              <controlPr defaultSize="0" autoLine="0" autoPict="0" macro="[0]!Macro1">
                <anchor moveWithCells="1">
                  <from>
                    <xdr:col>11</xdr:col>
                    <xdr:colOff>9525</xdr:colOff>
                    <xdr:row>18</xdr:row>
                    <xdr:rowOff>9525</xdr:rowOff>
                  </from>
                  <to>
                    <xdr:col>13</xdr:col>
                    <xdr:colOff>1438275</xdr:colOff>
                    <xdr:row>18</xdr:row>
                    <xdr:rowOff>342900</xdr:rowOff>
                  </to>
                </anchor>
              </controlPr>
            </control>
          </mc:Choice>
        </mc:AlternateContent>
        <mc:AlternateContent xmlns:mc="http://schemas.openxmlformats.org/markup-compatibility/2006">
          <mc:Choice Requires="x14">
            <control shapeId="68613" r:id="rId32" name="Drop Down 5">
              <controlPr defaultSize="0" autoLine="0" autoPict="0">
                <anchor moveWithCells="1">
                  <from>
                    <xdr:col>11</xdr:col>
                    <xdr:colOff>9525</xdr:colOff>
                    <xdr:row>17</xdr:row>
                    <xdr:rowOff>9525</xdr:rowOff>
                  </from>
                  <to>
                    <xdr:col>13</xdr:col>
                    <xdr:colOff>1438275</xdr:colOff>
                    <xdr:row>17</xdr:row>
                    <xdr:rowOff>342900</xdr:rowOff>
                  </to>
                </anchor>
              </controlPr>
            </control>
          </mc:Choice>
        </mc:AlternateContent>
        <mc:AlternateContent xmlns:mc="http://schemas.openxmlformats.org/markup-compatibility/2006">
          <mc:Choice Requires="x14">
            <control shapeId="68614" r:id="rId33" name="Drop Down 6">
              <controlPr defaultSize="0" autoLine="0" autoPict="0">
                <anchor moveWithCells="1">
                  <from>
                    <xdr:col>11</xdr:col>
                    <xdr:colOff>9525</xdr:colOff>
                    <xdr:row>19</xdr:row>
                    <xdr:rowOff>0</xdr:rowOff>
                  </from>
                  <to>
                    <xdr:col>13</xdr:col>
                    <xdr:colOff>1438275</xdr:colOff>
                    <xdr:row>19</xdr:row>
                    <xdr:rowOff>342900</xdr:rowOff>
                  </to>
                </anchor>
              </controlPr>
            </control>
          </mc:Choice>
        </mc:AlternateContent>
        <mc:AlternateContent xmlns:mc="http://schemas.openxmlformats.org/markup-compatibility/2006">
          <mc:Choice Requires="x14">
            <control shapeId="68618" r:id="rId34" name="Drop Down 10">
              <controlPr defaultSize="0" autoLine="0" autoPict="0">
                <anchor moveWithCells="1">
                  <from>
                    <xdr:col>11</xdr:col>
                    <xdr:colOff>9525</xdr:colOff>
                    <xdr:row>20</xdr:row>
                    <xdr:rowOff>9525</xdr:rowOff>
                  </from>
                  <to>
                    <xdr:col>13</xdr:col>
                    <xdr:colOff>1438275</xdr:colOff>
                    <xdr:row>20</xdr:row>
                    <xdr:rowOff>342900</xdr:rowOff>
                  </to>
                </anchor>
              </controlPr>
            </control>
          </mc:Choice>
        </mc:AlternateContent>
        <mc:AlternateContent xmlns:mc="http://schemas.openxmlformats.org/markup-compatibility/2006">
          <mc:Choice Requires="x14">
            <control shapeId="68621" r:id="rId35" name="Drop Down 13">
              <controlPr defaultSize="0" autoLine="0" autoPict="0">
                <anchor moveWithCells="1">
                  <from>
                    <xdr:col>11</xdr:col>
                    <xdr:colOff>9525</xdr:colOff>
                    <xdr:row>16</xdr:row>
                    <xdr:rowOff>0</xdr:rowOff>
                  </from>
                  <to>
                    <xdr:col>13</xdr:col>
                    <xdr:colOff>1447800</xdr:colOff>
                    <xdr:row>16</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1"/>
  </sheetPr>
  <dimension ref="A1:P35"/>
  <sheetViews>
    <sheetView showZeros="0" topLeftCell="A13" zoomScale="66" zoomScaleNormal="66" workbookViewId="0">
      <selection activeCell="E23" sqref="E23"/>
    </sheetView>
  </sheetViews>
  <sheetFormatPr defaultColWidth="9" defaultRowHeight="15.75"/>
  <cols>
    <col min="1" max="1" width="4.140625" style="4" customWidth="1"/>
    <col min="2" max="2" width="7.5703125" style="4" customWidth="1"/>
    <col min="3" max="3" width="9.5703125" style="4" customWidth="1"/>
    <col min="4" max="4" width="12.42578125" style="4" customWidth="1"/>
    <col min="5" max="5" width="14.5703125" style="4" customWidth="1"/>
    <col min="6" max="6" width="21" style="4" customWidth="1"/>
    <col min="7" max="7" width="8.140625" style="4" customWidth="1"/>
    <col min="8" max="14" width="7.5703125" style="4" customWidth="1"/>
    <col min="15" max="15" width="8.140625" style="4" customWidth="1"/>
    <col min="16" max="16384" width="9" style="4"/>
  </cols>
  <sheetData>
    <row r="1" spans="1:16" ht="16.5" thickTop="1">
      <c r="A1" s="216"/>
      <c r="B1" s="217"/>
      <c r="C1" s="217"/>
      <c r="D1" s="217"/>
      <c r="E1" s="217"/>
      <c r="F1" s="217"/>
      <c r="G1" s="217"/>
      <c r="H1" s="217"/>
      <c r="I1" s="217"/>
      <c r="J1" s="217"/>
      <c r="K1" s="217"/>
      <c r="L1" s="217"/>
      <c r="M1" s="217"/>
      <c r="N1" s="217"/>
      <c r="O1" s="218"/>
    </row>
    <row r="2" spans="1:16" ht="18.75">
      <c r="A2" s="5" t="s">
        <v>198</v>
      </c>
      <c r="B2" s="6"/>
      <c r="C2" s="6"/>
      <c r="D2" s="8"/>
      <c r="E2" s="101"/>
      <c r="F2" s="8" t="s">
        <v>504</v>
      </c>
      <c r="G2" s="47"/>
      <c r="H2" s="47"/>
      <c r="I2" s="47"/>
      <c r="J2" s="47"/>
      <c r="K2" s="47"/>
      <c r="L2" s="47"/>
      <c r="M2" s="47"/>
      <c r="N2" s="101"/>
      <c r="O2" s="219"/>
      <c r="P2" s="13"/>
    </row>
    <row r="3" spans="1:16" ht="18.75">
      <c r="A3" s="7" t="s">
        <v>200</v>
      </c>
      <c r="B3" s="8"/>
      <c r="C3" s="8"/>
      <c r="D3" s="8"/>
      <c r="E3" s="101"/>
      <c r="F3" s="8" t="s">
        <v>201</v>
      </c>
      <c r="G3" s="47"/>
      <c r="H3" s="47"/>
      <c r="I3" s="47"/>
      <c r="J3" s="47"/>
      <c r="K3" s="47"/>
      <c r="L3" s="47"/>
      <c r="M3" s="47"/>
      <c r="N3" s="101"/>
      <c r="O3" s="219"/>
    </row>
    <row r="4" spans="1:16" ht="18.75">
      <c r="A4" s="220"/>
      <c r="B4" s="221"/>
      <c r="C4" s="221"/>
      <c r="D4" s="221"/>
      <c r="E4" s="17"/>
      <c r="F4" s="17"/>
      <c r="G4" s="17"/>
      <c r="H4" s="17"/>
      <c r="I4" s="17"/>
      <c r="J4" s="17"/>
      <c r="K4" s="17"/>
      <c r="L4" s="17"/>
      <c r="M4" s="17"/>
      <c r="N4" s="17"/>
      <c r="O4" s="219"/>
    </row>
    <row r="5" spans="1:16" ht="18.75">
      <c r="A5" s="9" t="s">
        <v>207</v>
      </c>
      <c r="B5" s="9"/>
      <c r="C5" s="9"/>
      <c r="D5" s="221"/>
      <c r="E5" s="17"/>
      <c r="F5" s="17"/>
      <c r="G5" s="17"/>
      <c r="H5" s="17"/>
      <c r="I5" s="17"/>
      <c r="J5" s="17"/>
      <c r="K5" s="17"/>
      <c r="L5" s="17"/>
      <c r="M5" s="17"/>
      <c r="N5" s="17"/>
      <c r="O5" s="219"/>
    </row>
    <row r="6" spans="1:16" ht="48.75" customHeight="1">
      <c r="A6" s="222"/>
      <c r="B6" s="17"/>
      <c r="C6" s="17"/>
      <c r="D6" s="17"/>
      <c r="E6" s="17"/>
      <c r="F6" s="17"/>
      <c r="G6" s="17"/>
      <c r="H6" s="17"/>
      <c r="I6" s="17"/>
      <c r="J6" s="17"/>
      <c r="K6" s="17"/>
      <c r="L6" s="17"/>
      <c r="M6" s="17"/>
      <c r="N6" s="17"/>
      <c r="O6" s="219"/>
    </row>
    <row r="7" spans="1:16" ht="48.75" customHeight="1">
      <c r="A7" s="222"/>
      <c r="B7" s="17"/>
      <c r="C7" s="17"/>
      <c r="D7" s="17"/>
      <c r="E7" s="17"/>
      <c r="F7" s="17"/>
      <c r="G7" s="17"/>
      <c r="H7" s="17"/>
      <c r="I7" s="17"/>
      <c r="J7" s="17"/>
      <c r="K7" s="17"/>
      <c r="L7" s="17"/>
      <c r="M7" s="17"/>
      <c r="N7" s="17"/>
      <c r="O7" s="219"/>
    </row>
    <row r="8" spans="1:16" ht="48.75" customHeight="1">
      <c r="A8" s="222"/>
      <c r="B8" s="17"/>
      <c r="C8" s="17"/>
      <c r="D8" s="17"/>
      <c r="E8" s="17"/>
      <c r="F8" s="17"/>
      <c r="G8" s="17"/>
      <c r="H8" s="17"/>
      <c r="I8" s="17"/>
      <c r="J8" s="17"/>
      <c r="K8" s="17"/>
      <c r="L8" s="17"/>
      <c r="M8" s="17"/>
      <c r="N8" s="17"/>
      <c r="O8" s="219"/>
    </row>
    <row r="9" spans="1:16" ht="48.75" customHeight="1">
      <c r="A9" s="222"/>
      <c r="B9" s="224"/>
      <c r="C9" s="224"/>
      <c r="D9" s="224"/>
      <c r="E9" s="224"/>
      <c r="F9" s="224"/>
      <c r="G9" s="224"/>
      <c r="H9" s="224"/>
      <c r="I9" s="224"/>
      <c r="J9" s="224"/>
      <c r="K9" s="224"/>
      <c r="L9" s="224"/>
      <c r="M9" s="224"/>
      <c r="N9" s="224"/>
      <c r="O9" s="225"/>
    </row>
    <row r="10" spans="1:16" ht="48.75" customHeight="1">
      <c r="A10" s="222"/>
      <c r="B10" s="17"/>
      <c r="C10" s="17"/>
      <c r="D10" s="17"/>
      <c r="E10" s="17"/>
      <c r="F10" s="17"/>
      <c r="G10" s="17"/>
      <c r="H10" s="17"/>
      <c r="I10" s="17"/>
      <c r="J10" s="17"/>
      <c r="K10" s="17"/>
      <c r="L10" s="17"/>
      <c r="M10" s="17"/>
      <c r="N10" s="17"/>
      <c r="O10" s="219"/>
    </row>
    <row r="11" spans="1:16" s="13" customFormat="1" ht="48.75" customHeight="1">
      <c r="A11" s="226"/>
      <c r="B11" s="227"/>
      <c r="F11" s="227"/>
      <c r="G11" s="227"/>
      <c r="H11" s="227"/>
      <c r="I11" s="227"/>
      <c r="J11" s="227"/>
      <c r="K11" s="227"/>
      <c r="L11" s="227"/>
      <c r="M11" s="227"/>
      <c r="N11" s="227"/>
      <c r="O11" s="228"/>
    </row>
    <row r="12" spans="1:16" s="13" customFormat="1" ht="48.75" customHeight="1">
      <c r="A12" s="226"/>
      <c r="B12" s="227"/>
      <c r="F12" s="227"/>
      <c r="G12" s="227"/>
      <c r="H12" s="227"/>
      <c r="I12" s="227"/>
      <c r="J12" s="227"/>
      <c r="K12" s="227"/>
      <c r="L12" s="227"/>
      <c r="M12" s="227"/>
      <c r="N12" s="227"/>
      <c r="O12" s="228"/>
    </row>
    <row r="13" spans="1:16" ht="21" customHeight="1">
      <c r="A13" s="220"/>
      <c r="B13" s="221"/>
      <c r="F13" s="221"/>
      <c r="G13" s="221"/>
      <c r="H13" s="221"/>
      <c r="I13" s="221"/>
      <c r="J13" s="221"/>
      <c r="K13" s="221"/>
      <c r="L13" s="221"/>
      <c r="M13" s="221"/>
      <c r="N13" s="221"/>
      <c r="O13" s="229"/>
    </row>
    <row r="14" spans="1:16" s="13" customFormat="1" ht="67.900000000000006" customHeight="1">
      <c r="A14" s="1383" t="s">
        <v>1196</v>
      </c>
      <c r="B14" s="8"/>
      <c r="C14" s="47"/>
      <c r="D14" s="47"/>
      <c r="E14" s="47"/>
      <c r="F14" s="8"/>
      <c r="G14" s="8"/>
      <c r="H14" s="8"/>
      <c r="I14" s="8"/>
      <c r="J14" s="8"/>
      <c r="K14" s="8"/>
      <c r="L14" s="8"/>
      <c r="M14" s="8"/>
      <c r="N14" s="8"/>
      <c r="O14" s="1382"/>
    </row>
    <row r="15" spans="1:16" ht="21" customHeight="1">
      <c r="A15" s="222"/>
      <c r="B15" s="17"/>
      <c r="F15" s="17"/>
      <c r="G15" s="12"/>
      <c r="H15" s="17"/>
      <c r="I15" s="15"/>
      <c r="J15" s="101"/>
      <c r="K15" s="101"/>
      <c r="L15" s="101"/>
      <c r="M15" s="17"/>
      <c r="N15" s="17"/>
      <c r="O15" s="233"/>
    </row>
    <row r="16" spans="1:16" ht="34.15" customHeight="1">
      <c r="A16" s="222"/>
      <c r="B16" s="17"/>
      <c r="C16" s="12"/>
      <c r="D16" s="101"/>
      <c r="E16" s="17"/>
      <c r="F16" s="17"/>
      <c r="G16" s="12"/>
      <c r="H16" s="17"/>
      <c r="I16" s="101"/>
      <c r="J16" s="101"/>
      <c r="K16" s="101"/>
      <c r="L16" s="101"/>
      <c r="M16" s="17"/>
      <c r="N16" s="17"/>
      <c r="O16" s="233"/>
    </row>
    <row r="17" spans="1:15" s="13" customFormat="1" ht="32.450000000000003" customHeight="1">
      <c r="A17" s="1381"/>
      <c r="B17" s="227"/>
      <c r="C17" s="828" t="s">
        <v>386</v>
      </c>
      <c r="E17" s="828" t="str">
        <f>UPPER(Ts!K3)</f>
        <v>ĐIỀU CHỈNH, BỔ SUNG, ĐƠN GIÁ XÂY DỰNG CỦA MỘT SỐ LOẠI CÔNG TRÌNH ĐỂ XÁC ĐỊNH GIÁ TRỊ BỒI
THƯỜNG ĐỐI VỚI NHÀ Ở, CÔNG TRÌNH PHẢI THÁO DỠ KHI NHÀ NƯỚC THU HỒI ĐẤT TRÊN ĐỊA BÀN TỈNH SƠN LA</v>
      </c>
      <c r="F17" s="227"/>
      <c r="G17" s="227"/>
      <c r="H17" s="227"/>
      <c r="I17" s="227"/>
      <c r="J17" s="227"/>
      <c r="K17" s="227"/>
      <c r="L17" s="227"/>
      <c r="M17" s="227"/>
      <c r="N17" s="227"/>
      <c r="O17" s="228"/>
    </row>
    <row r="18" spans="1:15" s="13" customFormat="1" ht="32.450000000000003" customHeight="1">
      <c r="A18" s="1381"/>
      <c r="B18" s="227"/>
      <c r="C18" s="828" t="s">
        <v>247</v>
      </c>
      <c r="E18" s="828" t="str">
        <f>UPPER(Ts!K4)</f>
        <v>NHÀ 01 TẦNG, TƯỜNG CHỊU LỰC 110MM, MÁI LỢP FIBRÔXIMĂNG, KHÔNG CÓ KHU VỆ SINH KHÉP KÍN</v>
      </c>
      <c r="F18" s="1379"/>
      <c r="G18" s="1379"/>
      <c r="H18" s="1379"/>
      <c r="J18" s="227"/>
      <c r="K18" s="227"/>
      <c r="L18" s="227"/>
      <c r="M18" s="227"/>
      <c r="N18" s="227"/>
      <c r="O18" s="228"/>
    </row>
    <row r="19" spans="1:15" ht="32.450000000000003" customHeight="1">
      <c r="A19" s="1380"/>
      <c r="B19" s="17"/>
      <c r="C19" s="828" t="s">
        <v>205</v>
      </c>
      <c r="E19" s="828" t="str">
        <f>UPPER(Ts!K6)</f>
        <v/>
      </c>
      <c r="F19" s="17"/>
      <c r="G19" s="17"/>
      <c r="H19" s="17"/>
      <c r="I19" s="17"/>
      <c r="J19" s="17"/>
      <c r="K19" s="17"/>
      <c r="L19" s="17"/>
      <c r="M19" s="17"/>
      <c r="N19" s="17"/>
      <c r="O19" s="233"/>
    </row>
    <row r="20" spans="1:15" ht="32.450000000000003" customHeight="1">
      <c r="A20" s="1380"/>
      <c r="B20" s="17"/>
      <c r="C20" s="828" t="s">
        <v>206</v>
      </c>
      <c r="D20" s="13"/>
      <c r="E20" s="828" t="str">
        <f>UPPER(Ts!K7)</f>
        <v/>
      </c>
      <c r="F20" s="17"/>
      <c r="G20" s="17"/>
      <c r="H20" s="17"/>
      <c r="I20" s="17"/>
      <c r="J20" s="17"/>
      <c r="K20" s="17"/>
      <c r="L20" s="17"/>
      <c r="M20" s="17"/>
      <c r="N20" s="17"/>
      <c r="O20" s="233"/>
    </row>
    <row r="21" spans="1:15" ht="32.450000000000003" customHeight="1">
      <c r="A21" s="1380"/>
      <c r="B21" s="17"/>
      <c r="C21" s="828"/>
      <c r="D21" s="13"/>
      <c r="E21" s="227"/>
      <c r="F21" s="17"/>
      <c r="G21" s="17"/>
      <c r="H21" s="17"/>
      <c r="I21" s="17"/>
      <c r="J21" s="17"/>
      <c r="K21" s="17"/>
      <c r="L21" s="17"/>
      <c r="M21" s="17"/>
      <c r="N21" s="17"/>
      <c r="O21" s="233"/>
    </row>
    <row r="22" spans="1:15" ht="32.450000000000003" customHeight="1">
      <c r="A22" s="1380"/>
      <c r="B22" s="17"/>
      <c r="C22" s="828" t="s">
        <v>1195</v>
      </c>
      <c r="D22" s="13"/>
      <c r="F22" s="1379">
        <f ca="1">TMDT!G15</f>
        <v>0</v>
      </c>
      <c r="G22" s="1378" t="s">
        <v>209</v>
      </c>
      <c r="H22" s="1379"/>
      <c r="J22" s="1378"/>
      <c r="K22" s="236"/>
      <c r="L22" s="237"/>
      <c r="M22" s="236"/>
      <c r="N22" s="238"/>
      <c r="O22" s="233"/>
    </row>
    <row r="23" spans="1:15" ht="34.15" customHeight="1">
      <c r="A23" s="222"/>
      <c r="B23" s="17"/>
      <c r="C23" s="1377" t="str">
        <f ca="1">"Bằng chữ: "&amp;vnd(F22)</f>
        <v>Bằng chữ:  đồng.</v>
      </c>
      <c r="D23" s="101"/>
      <c r="E23" s="17"/>
      <c r="F23" s="17"/>
      <c r="G23" s="101"/>
      <c r="H23" s="17"/>
      <c r="I23" s="239"/>
      <c r="J23" s="101"/>
      <c r="K23" s="101"/>
      <c r="L23" s="101"/>
      <c r="M23" s="17"/>
      <c r="N23" s="17"/>
      <c r="O23" s="233"/>
    </row>
    <row r="24" spans="1:15" ht="34.15" customHeight="1">
      <c r="A24" s="222"/>
      <c r="B24" s="17"/>
      <c r="C24" s="101"/>
      <c r="D24" s="101"/>
      <c r="E24" s="17"/>
      <c r="F24" s="17"/>
      <c r="G24" s="101"/>
      <c r="H24" s="17"/>
      <c r="I24" s="239"/>
      <c r="J24" s="101"/>
      <c r="K24" s="101"/>
      <c r="L24" s="101"/>
      <c r="M24" s="17"/>
      <c r="N24" s="17"/>
      <c r="O24" s="233"/>
    </row>
    <row r="25" spans="1:15" ht="34.15" customHeight="1">
      <c r="A25" s="222"/>
      <c r="B25" s="17"/>
      <c r="C25" s="101"/>
      <c r="D25" s="101"/>
      <c r="E25" s="17"/>
      <c r="F25" s="17"/>
      <c r="G25" s="101"/>
      <c r="H25" s="17"/>
      <c r="I25" s="239"/>
      <c r="J25" s="101"/>
      <c r="K25" s="101"/>
      <c r="L25" s="101"/>
      <c r="M25" s="17"/>
      <c r="N25" s="17"/>
      <c r="O25" s="233"/>
    </row>
    <row r="26" spans="1:15" ht="34.15" customHeight="1">
      <c r="A26" s="222"/>
      <c r="B26" s="17"/>
      <c r="C26" s="101"/>
      <c r="D26" s="101"/>
      <c r="E26" s="17"/>
      <c r="F26" s="17"/>
      <c r="G26" s="101"/>
      <c r="H26" s="17"/>
      <c r="I26" s="239"/>
      <c r="J26" s="101"/>
      <c r="K26" s="101"/>
      <c r="L26" s="101"/>
      <c r="M26" s="17"/>
      <c r="N26" s="17"/>
      <c r="O26" s="233"/>
    </row>
    <row r="27" spans="1:15" ht="34.15" customHeight="1">
      <c r="A27" s="222"/>
      <c r="B27" s="17"/>
      <c r="C27" s="101"/>
      <c r="D27" s="101"/>
      <c r="E27" s="17"/>
      <c r="F27" s="17"/>
      <c r="G27" s="101"/>
      <c r="H27" s="17"/>
      <c r="I27" s="239"/>
      <c r="J27" s="101"/>
      <c r="K27" s="101"/>
      <c r="L27" s="101"/>
      <c r="M27" s="17"/>
      <c r="N27" s="17"/>
      <c r="O27" s="233"/>
    </row>
    <row r="28" spans="1:15" ht="34.15" customHeight="1">
      <c r="A28" s="222"/>
      <c r="B28" s="17"/>
      <c r="C28" s="101"/>
      <c r="D28" s="101"/>
      <c r="E28" s="17"/>
      <c r="F28" s="17"/>
      <c r="G28" s="101"/>
      <c r="H28" s="17"/>
      <c r="I28" s="239"/>
      <c r="J28" s="101"/>
      <c r="K28" s="101"/>
      <c r="L28" s="101"/>
      <c r="M28" s="17"/>
      <c r="N28" s="17"/>
      <c r="O28" s="233"/>
    </row>
    <row r="29" spans="1:15" ht="67.150000000000006" customHeight="1">
      <c r="A29" s="222"/>
      <c r="B29" s="17"/>
      <c r="C29" s="101"/>
      <c r="D29" s="101"/>
      <c r="E29" s="17"/>
      <c r="F29" s="17"/>
      <c r="G29" s="101"/>
      <c r="H29" s="17"/>
      <c r="I29" s="239"/>
      <c r="J29" s="101"/>
      <c r="K29" s="101"/>
      <c r="L29" s="101"/>
      <c r="M29" s="17"/>
      <c r="N29" s="17"/>
      <c r="O29" s="233"/>
    </row>
    <row r="30" spans="1:15" ht="34.15" customHeight="1">
      <c r="A30" s="222"/>
      <c r="B30" s="17"/>
      <c r="C30" s="101"/>
      <c r="D30" s="101"/>
      <c r="E30" s="17"/>
      <c r="F30" s="17"/>
      <c r="G30" s="101"/>
      <c r="H30" s="17"/>
      <c r="I30" s="239"/>
      <c r="J30" s="101"/>
      <c r="K30" s="101"/>
      <c r="L30" s="101"/>
      <c r="M30" s="17"/>
      <c r="N30" s="17"/>
      <c r="O30" s="233"/>
    </row>
    <row r="31" spans="1:15" ht="34.15" customHeight="1">
      <c r="A31" s="222"/>
      <c r="B31" s="17"/>
      <c r="C31" s="101"/>
      <c r="D31" s="101"/>
      <c r="E31" s="17"/>
      <c r="F31" s="17"/>
      <c r="G31" s="101"/>
      <c r="H31" s="17"/>
      <c r="I31" s="239"/>
      <c r="J31" s="101"/>
      <c r="K31" s="101"/>
      <c r="L31" s="101"/>
      <c r="M31" s="17"/>
      <c r="N31" s="17"/>
      <c r="O31" s="233"/>
    </row>
    <row r="32" spans="1:15" ht="55.15" customHeight="1">
      <c r="A32" s="222"/>
      <c r="B32" s="101"/>
      <c r="C32" s="101"/>
      <c r="D32" s="101"/>
      <c r="E32" s="101"/>
      <c r="F32" s="101"/>
      <c r="G32" s="101"/>
      <c r="H32" s="101"/>
      <c r="I32" s="239"/>
      <c r="J32" s="101"/>
      <c r="K32" s="101"/>
      <c r="L32" s="101"/>
      <c r="M32" s="101"/>
      <c r="N32" s="101"/>
      <c r="O32" s="219"/>
    </row>
    <row r="33" spans="1:15" ht="65.099999999999994" customHeight="1" thickBot="1">
      <c r="A33" s="1376" t="str">
        <f ca="1">"Hà Nội - "&amp;YEAR(NOW())</f>
        <v>Hà Nội - 2024</v>
      </c>
      <c r="B33" s="1375"/>
      <c r="C33" s="1375"/>
      <c r="D33" s="1375"/>
      <c r="E33" s="1375"/>
      <c r="F33" s="1375"/>
      <c r="G33" s="1375"/>
      <c r="H33" s="1375"/>
      <c r="I33" s="1375"/>
      <c r="J33" s="1375"/>
      <c r="K33" s="1375"/>
      <c r="L33" s="1375"/>
      <c r="M33" s="1375"/>
      <c r="N33" s="1375"/>
      <c r="O33" s="1374"/>
    </row>
    <row r="34" spans="1:15" ht="16.5" thickTop="1">
      <c r="A34" s="17"/>
      <c r="B34" s="17"/>
      <c r="C34" s="17"/>
      <c r="D34" s="17"/>
      <c r="E34" s="17"/>
      <c r="F34" s="17"/>
      <c r="G34" s="17"/>
      <c r="H34" s="17"/>
      <c r="I34" s="17"/>
      <c r="J34" s="17"/>
      <c r="K34" s="17"/>
      <c r="L34" s="17"/>
      <c r="M34" s="17"/>
      <c r="N34" s="17"/>
      <c r="O34" s="17"/>
    </row>
    <row r="35" spans="1:15">
      <c r="A35" s="53"/>
      <c r="B35" s="17"/>
      <c r="C35" s="17"/>
      <c r="D35" s="17"/>
      <c r="E35" s="17"/>
      <c r="F35" s="17"/>
      <c r="G35" s="17"/>
      <c r="H35" s="17"/>
      <c r="I35" s="17"/>
      <c r="J35" s="17"/>
      <c r="K35" s="17"/>
      <c r="L35" s="17"/>
      <c r="M35" s="17"/>
      <c r="N35" s="17"/>
      <c r="O35" s="17"/>
    </row>
  </sheetData>
  <printOptions horizontalCentered="1"/>
  <pageMargins left="0.74803149606299213" right="0.23622047244094491" top="0.51181102362204722" bottom="0.51181102362204722" header="0.23622047244094491" footer="0.23622047244094491"/>
  <pageSetup paperSize="9" scale="60" fitToHeight="0" orientation="portrait" blackAndWhite="1"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MDT">
    <tabColor rgb="FFFF0000"/>
  </sheetPr>
  <dimension ref="A1:N17"/>
  <sheetViews>
    <sheetView workbookViewId="0">
      <selection activeCell="E16" sqref="E16:H16"/>
    </sheetView>
  </sheetViews>
  <sheetFormatPr defaultColWidth="9.140625" defaultRowHeight="15"/>
  <cols>
    <col min="1" max="1" width="7.140625" style="64" customWidth="1"/>
    <col min="2" max="2" width="39.85546875" style="64" customWidth="1"/>
    <col min="3" max="3" width="18" style="64" bestFit="1" customWidth="1"/>
    <col min="4" max="4" width="18.42578125" style="64" hidden="1" customWidth="1"/>
    <col min="5" max="7" width="18" style="64" bestFit="1" customWidth="1"/>
    <col min="8" max="8" width="29.42578125" style="64" hidden="1" customWidth="1"/>
    <col min="9" max="9" width="9.85546875" style="64" bestFit="1" customWidth="1"/>
    <col min="10" max="16384" width="9.140625" style="64"/>
  </cols>
  <sheetData>
    <row r="1" spans="1:14" s="67" customFormat="1" ht="22.5">
      <c r="A1" s="1395" t="s">
        <v>1299</v>
      </c>
      <c r="B1" s="1394"/>
      <c r="C1" s="1394"/>
      <c r="D1" s="1394"/>
      <c r="E1" s="1394"/>
      <c r="F1" s="1394"/>
      <c r="G1" s="1394"/>
      <c r="H1" s="1394"/>
    </row>
    <row r="2" spans="1:14" s="221" customFormat="1" ht="22.9" customHeight="1">
      <c r="A2" s="8" t="str">
        <f>'Bia-TMDT'!C17&amp;'Bia-TMDT'!E17</f>
        <v>DỰ ÁN: ĐIỀU CHỈNH, BỔ SUNG, ĐƠN GIÁ XÂY DỰNG CỦA MỘT SỐ LOẠI CÔNG TRÌNH ĐỂ XÁC ĐỊNH GIÁ TRỊ BỒI
THƯỜNG ĐỐI VỚI NHÀ Ở, CÔNG TRÌNH PHẢI THÁO DỠ KHI NHÀ NƯỚC THU HỒI ĐẤT TRÊN ĐỊA BÀN TỈNH SƠN LA</v>
      </c>
      <c r="B2" s="8"/>
      <c r="C2" s="8"/>
      <c r="D2" s="8"/>
      <c r="E2" s="8"/>
      <c r="F2" s="8"/>
      <c r="G2" s="1450"/>
      <c r="H2" s="1450"/>
    </row>
    <row r="3" spans="1:14" s="221" customFormat="1" ht="19.5">
      <c r="A3" s="8" t="str">
        <f>'Bia-TMDT'!C18&amp;'Bia-TMDT'!E18</f>
        <v>CÔNG TRÌNH: NHÀ 01 TẦNG, TƯỜNG CHỊU LỰC 110MM, MÁI LỢP FIBRÔXIMĂNG, KHÔNG CÓ KHU VỆ SINH KHÉP KÍN</v>
      </c>
      <c r="B3" s="8"/>
      <c r="C3" s="8"/>
      <c r="D3" s="8"/>
      <c r="E3" s="8"/>
      <c r="F3" s="8"/>
      <c r="G3" s="1450"/>
      <c r="H3" s="1450"/>
    </row>
    <row r="4" spans="1:14" ht="15.75">
      <c r="B4" s="17"/>
      <c r="C4" s="17"/>
      <c r="D4" s="17"/>
      <c r="E4" s="17"/>
      <c r="F4" s="17"/>
      <c r="G4" s="49" t="s">
        <v>1298</v>
      </c>
      <c r="H4" s="49"/>
    </row>
    <row r="5" spans="1:14" s="1393" customFormat="1" ht="31.5">
      <c r="A5" s="1388" t="s">
        <v>196</v>
      </c>
      <c r="B5" s="1041" t="s">
        <v>1297</v>
      </c>
      <c r="C5" s="1041" t="s">
        <v>94</v>
      </c>
      <c r="D5" s="1041" t="s">
        <v>1296</v>
      </c>
      <c r="E5" s="1041" t="s">
        <v>1295</v>
      </c>
      <c r="F5" s="1041" t="s">
        <v>46</v>
      </c>
      <c r="G5" s="1041" t="s">
        <v>1294</v>
      </c>
      <c r="H5" s="1041" t="s">
        <v>1199</v>
      </c>
    </row>
    <row r="6" spans="1:14" s="1393" customFormat="1" ht="15.75">
      <c r="A6" s="1449"/>
      <c r="B6" s="1448"/>
      <c r="C6" s="1448"/>
      <c r="D6" s="1448"/>
      <c r="E6" s="1448"/>
      <c r="F6" s="1448"/>
      <c r="G6" s="1448"/>
      <c r="H6" s="1447"/>
    </row>
    <row r="7" spans="1:14" ht="31.5">
      <c r="A7" s="35">
        <v>1</v>
      </c>
      <c r="B7" s="37" t="s">
        <v>1293</v>
      </c>
      <c r="C7" s="1444" t="s">
        <v>1292</v>
      </c>
      <c r="D7" s="35" t="s">
        <v>338</v>
      </c>
      <c r="E7" s="131">
        <f>'TMDT-SVDT'!I8</f>
        <v>0</v>
      </c>
      <c r="F7" s="131">
        <f>'TMDT-SVDT'!J8</f>
        <v>0</v>
      </c>
      <c r="G7" s="131">
        <f>'TMDT-SVDT'!K8</f>
        <v>0</v>
      </c>
      <c r="H7" s="1389"/>
      <c r="I7" s="221"/>
      <c r="J7" s="1446"/>
      <c r="K7" s="221"/>
      <c r="L7" s="221"/>
      <c r="M7" s="221"/>
      <c r="N7" s="221"/>
    </row>
    <row r="8" spans="1:14" ht="19.5">
      <c r="A8" s="35">
        <v>2</v>
      </c>
      <c r="B8" s="1391" t="s">
        <v>330</v>
      </c>
      <c r="C8" s="1444" t="s">
        <v>1291</v>
      </c>
      <c r="D8" s="35" t="s">
        <v>338</v>
      </c>
      <c r="E8" s="131">
        <f>'TMDT-SVDT'!I9</f>
        <v>0</v>
      </c>
      <c r="F8" s="131">
        <f>'TMDT-SVDT'!J9</f>
        <v>0</v>
      </c>
      <c r="G8" s="131">
        <f>E8*1.1</f>
        <v>0</v>
      </c>
      <c r="H8" s="1445"/>
      <c r="I8" s="221"/>
      <c r="J8" s="221"/>
      <c r="K8" s="221"/>
      <c r="L8" s="221"/>
      <c r="M8" s="221"/>
      <c r="N8" s="221"/>
    </row>
    <row r="9" spans="1:14" ht="19.5">
      <c r="A9" s="35">
        <v>3</v>
      </c>
      <c r="B9" s="999" t="s">
        <v>331</v>
      </c>
      <c r="C9" s="1444" t="s">
        <v>1290</v>
      </c>
      <c r="D9" s="35" t="s">
        <v>338</v>
      </c>
      <c r="E9" s="131">
        <f ca="1">GTBtt</f>
        <v>0</v>
      </c>
      <c r="F9" s="131">
        <f>'TMDT-SVDT'!J20</f>
        <v>0</v>
      </c>
      <c r="G9" s="131">
        <f ca="1">E9*1.1</f>
        <v>0</v>
      </c>
      <c r="H9" s="1389"/>
      <c r="I9" s="221"/>
      <c r="J9" s="221"/>
      <c r="K9" s="221"/>
      <c r="L9" s="221"/>
      <c r="M9" s="221"/>
      <c r="N9" s="221"/>
    </row>
    <row r="10" spans="1:14" ht="19.5">
      <c r="A10" s="35">
        <v>4</v>
      </c>
      <c r="B10" s="991" t="s">
        <v>1289</v>
      </c>
      <c r="C10" s="1444" t="s">
        <v>1288</v>
      </c>
      <c r="D10" s="35" t="s">
        <v>338</v>
      </c>
      <c r="E10" s="131">
        <f>GQLDA</f>
        <v>0</v>
      </c>
      <c r="F10" s="131"/>
      <c r="G10" s="131">
        <f>E10</f>
        <v>0</v>
      </c>
      <c r="H10" s="1389"/>
      <c r="I10" s="221"/>
      <c r="J10" s="221"/>
      <c r="K10" s="221"/>
      <c r="L10" s="221"/>
      <c r="M10" s="221"/>
      <c r="N10" s="221"/>
    </row>
    <row r="11" spans="1:14" ht="19.5">
      <c r="A11" s="35">
        <v>5</v>
      </c>
      <c r="B11" s="991" t="s">
        <v>332</v>
      </c>
      <c r="C11" s="1444" t="s">
        <v>1287</v>
      </c>
      <c r="D11" s="35" t="s">
        <v>338</v>
      </c>
      <c r="E11" s="131">
        <f>'TMDT-SVDT'!I54</f>
        <v>0</v>
      </c>
      <c r="F11" s="131">
        <f>'TMDT-SVDT'!J54</f>
        <v>0</v>
      </c>
      <c r="G11" s="131">
        <f>E11*1.1</f>
        <v>0</v>
      </c>
      <c r="H11" s="1389"/>
      <c r="I11" s="221"/>
      <c r="J11" s="221"/>
      <c r="K11" s="221"/>
      <c r="L11" s="221"/>
      <c r="M11" s="221"/>
      <c r="N11" s="221"/>
    </row>
    <row r="12" spans="1:14" ht="19.5">
      <c r="A12" s="35">
        <v>6</v>
      </c>
      <c r="B12" s="991" t="s">
        <v>150</v>
      </c>
      <c r="C12" s="1444" t="s">
        <v>1286</v>
      </c>
      <c r="D12" s="35" t="s">
        <v>338</v>
      </c>
      <c r="E12" s="131">
        <f>'TMDT-SVDT'!I105</f>
        <v>0</v>
      </c>
      <c r="F12" s="131">
        <f>'TMDT-SVDT'!J105</f>
        <v>0</v>
      </c>
      <c r="G12" s="131">
        <f>'TMDT-SVDT'!K105</f>
        <v>0</v>
      </c>
      <c r="H12" s="1389"/>
      <c r="I12" s="221"/>
      <c r="J12" s="221"/>
      <c r="K12" s="221"/>
      <c r="L12" s="221"/>
      <c r="M12" s="221"/>
      <c r="N12" s="221"/>
    </row>
    <row r="13" spans="1:14" ht="19.5">
      <c r="A13" s="35">
        <v>7</v>
      </c>
      <c r="B13" s="991" t="s">
        <v>168</v>
      </c>
      <c r="C13" s="1444" t="s">
        <v>1285</v>
      </c>
      <c r="D13" s="35" t="s">
        <v>338</v>
      </c>
      <c r="E13" s="131">
        <f>'TMDT-SVDT'!I144</f>
        <v>0</v>
      </c>
      <c r="F13" s="131">
        <f>'TMDT-SVDT'!J145</f>
        <v>0</v>
      </c>
      <c r="G13" s="131">
        <f>'TMDT-SVDT'!K145</f>
        <v>0</v>
      </c>
      <c r="H13" s="1389"/>
      <c r="I13" s="221"/>
      <c r="J13" s="221"/>
      <c r="K13" s="221"/>
      <c r="L13" s="221"/>
      <c r="M13" s="221"/>
      <c r="N13" s="221"/>
    </row>
    <row r="14" spans="1:14" ht="18.75">
      <c r="A14" s="35"/>
      <c r="B14" s="1443"/>
      <c r="C14" s="1442"/>
      <c r="D14" s="1441"/>
      <c r="E14" s="1440"/>
      <c r="F14" s="1440"/>
      <c r="G14" s="1440"/>
      <c r="H14" s="1389"/>
      <c r="I14" s="221"/>
      <c r="J14" s="221"/>
      <c r="K14" s="221"/>
      <c r="L14" s="221"/>
      <c r="M14" s="221"/>
      <c r="N14" s="221"/>
    </row>
    <row r="15" spans="1:14" s="1384" customFormat="1" ht="18.75">
      <c r="A15" s="1388"/>
      <c r="B15" s="1388" t="s">
        <v>1284</v>
      </c>
      <c r="C15" s="1388" t="s">
        <v>1283</v>
      </c>
      <c r="D15" s="1041"/>
      <c r="E15" s="1387">
        <f ca="1">SUM(E7:E14)</f>
        <v>0</v>
      </c>
      <c r="F15" s="1387">
        <f>SUM(F7:F14)</f>
        <v>0</v>
      </c>
      <c r="G15" s="1387">
        <f ca="1">SUM(G7:G14)</f>
        <v>0</v>
      </c>
      <c r="H15" s="1439"/>
      <c r="I15" s="1385"/>
      <c r="J15" s="1385"/>
      <c r="K15" s="1385"/>
      <c r="L15" s="1385"/>
      <c r="M15" s="1385"/>
      <c r="N15" s="1385"/>
    </row>
    <row r="17" spans="1:1">
      <c r="A17" s="1438"/>
    </row>
  </sheetData>
  <pageMargins left="0.74803149606299213" right="0.23622047244094491" top="0.51181102362204722" bottom="0.51181102362204722" header="0.23622047244094491" footer="0.23622047244094491"/>
  <pageSetup paperSize="9"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KV1">
    <tabColor theme="9" tint="0.79998168889431442"/>
  </sheetPr>
  <dimension ref="A1:Q44"/>
  <sheetViews>
    <sheetView showZeros="0" topLeftCell="B1" zoomScaleSheetLayoutView="91" workbookViewId="0">
      <selection activeCell="C11" sqref="C11"/>
    </sheetView>
  </sheetViews>
  <sheetFormatPr defaultRowHeight="15"/>
  <cols>
    <col min="1" max="1" width="5.5703125" style="1457" hidden="1" customWidth="1"/>
    <col min="2" max="2" width="5.42578125" style="1457" customWidth="1"/>
    <col min="3" max="3" width="10.85546875" style="1457" customWidth="1"/>
    <col min="4" max="4" width="36.42578125" style="1458" customWidth="1"/>
    <col min="5" max="5" width="12.85546875" style="1458" customWidth="1"/>
    <col min="6" max="6" width="6.42578125" style="1457" customWidth="1"/>
    <col min="7" max="7" width="10.42578125" style="1455" customWidth="1"/>
    <col min="8" max="8" width="10.42578125" style="1456" customWidth="1"/>
    <col min="9" max="9" width="12.42578125" style="1336" customWidth="1"/>
    <col min="10" max="11" width="6.42578125" style="350" customWidth="1"/>
    <col min="12" max="12" width="15.42578125" style="1336" customWidth="1"/>
    <col min="13" max="13" width="24.42578125" style="1455" customWidth="1"/>
    <col min="14" max="262" width="9" style="1454"/>
    <col min="263" max="263" width="6.42578125" style="1454" customWidth="1"/>
    <col min="264" max="264" width="36.42578125" style="1454" customWidth="1"/>
    <col min="265" max="265" width="12.85546875" style="1454" customWidth="1"/>
    <col min="266" max="266" width="10.42578125" style="1454" customWidth="1"/>
    <col min="267" max="267" width="12.42578125" style="1454" customWidth="1"/>
    <col min="268" max="268" width="15.42578125" style="1454" customWidth="1"/>
    <col min="269" max="269" width="6.42578125" style="1454" customWidth="1"/>
    <col min="270" max="518" width="9" style="1454"/>
    <col min="519" max="519" width="6.42578125" style="1454" customWidth="1"/>
    <col min="520" max="520" width="36.42578125" style="1454" customWidth="1"/>
    <col min="521" max="521" width="12.85546875" style="1454" customWidth="1"/>
    <col min="522" max="522" width="10.42578125" style="1454" customWidth="1"/>
    <col min="523" max="523" width="12.42578125" style="1454" customWidth="1"/>
    <col min="524" max="524" width="15.42578125" style="1454" customWidth="1"/>
    <col min="525" max="525" width="6.42578125" style="1454" customWidth="1"/>
    <col min="526" max="774" width="9" style="1454"/>
    <col min="775" max="775" width="6.42578125" style="1454" customWidth="1"/>
    <col min="776" max="776" width="36.42578125" style="1454" customWidth="1"/>
    <col min="777" max="777" width="12.85546875" style="1454" customWidth="1"/>
    <col min="778" max="778" width="10.42578125" style="1454" customWidth="1"/>
    <col min="779" max="779" width="12.42578125" style="1454" customWidth="1"/>
    <col min="780" max="780" width="15.42578125" style="1454" customWidth="1"/>
    <col min="781" max="781" width="6.42578125" style="1454" customWidth="1"/>
    <col min="782" max="1030" width="9" style="1454"/>
    <col min="1031" max="1031" width="6.42578125" style="1454" customWidth="1"/>
    <col min="1032" max="1032" width="36.42578125" style="1454" customWidth="1"/>
    <col min="1033" max="1033" width="12.85546875" style="1454" customWidth="1"/>
    <col min="1034" max="1034" width="10.42578125" style="1454" customWidth="1"/>
    <col min="1035" max="1035" width="12.42578125" style="1454" customWidth="1"/>
    <col min="1036" max="1036" width="15.42578125" style="1454" customWidth="1"/>
    <col min="1037" max="1037" width="6.42578125" style="1454" customWidth="1"/>
    <col min="1038" max="1286" width="9" style="1454"/>
    <col min="1287" max="1287" width="6.42578125" style="1454" customWidth="1"/>
    <col min="1288" max="1288" width="36.42578125" style="1454" customWidth="1"/>
    <col min="1289" max="1289" width="12.85546875" style="1454" customWidth="1"/>
    <col min="1290" max="1290" width="10.42578125" style="1454" customWidth="1"/>
    <col min="1291" max="1291" width="12.42578125" style="1454" customWidth="1"/>
    <col min="1292" max="1292" width="15.42578125" style="1454" customWidth="1"/>
    <col min="1293" max="1293" width="6.42578125" style="1454" customWidth="1"/>
    <col min="1294" max="1542" width="9" style="1454"/>
    <col min="1543" max="1543" width="6.42578125" style="1454" customWidth="1"/>
    <col min="1544" max="1544" width="36.42578125" style="1454" customWidth="1"/>
    <col min="1545" max="1545" width="12.85546875" style="1454" customWidth="1"/>
    <col min="1546" max="1546" width="10.42578125" style="1454" customWidth="1"/>
    <col min="1547" max="1547" width="12.42578125" style="1454" customWidth="1"/>
    <col min="1548" max="1548" width="15.42578125" style="1454" customWidth="1"/>
    <col min="1549" max="1549" width="6.42578125" style="1454" customWidth="1"/>
    <col min="1550" max="1798" width="9" style="1454"/>
    <col min="1799" max="1799" width="6.42578125" style="1454" customWidth="1"/>
    <col min="1800" max="1800" width="36.42578125" style="1454" customWidth="1"/>
    <col min="1801" max="1801" width="12.85546875" style="1454" customWidth="1"/>
    <col min="1802" max="1802" width="10.42578125" style="1454" customWidth="1"/>
    <col min="1803" max="1803" width="12.42578125" style="1454" customWidth="1"/>
    <col min="1804" max="1804" width="15.42578125" style="1454" customWidth="1"/>
    <col min="1805" max="1805" width="6.42578125" style="1454" customWidth="1"/>
    <col min="1806" max="2054" width="9" style="1454"/>
    <col min="2055" max="2055" width="6.42578125" style="1454" customWidth="1"/>
    <col min="2056" max="2056" width="36.42578125" style="1454" customWidth="1"/>
    <col min="2057" max="2057" width="12.85546875" style="1454" customWidth="1"/>
    <col min="2058" max="2058" width="10.42578125" style="1454" customWidth="1"/>
    <col min="2059" max="2059" width="12.42578125" style="1454" customWidth="1"/>
    <col min="2060" max="2060" width="15.42578125" style="1454" customWidth="1"/>
    <col min="2061" max="2061" width="6.42578125" style="1454" customWidth="1"/>
    <col min="2062" max="2310" width="9" style="1454"/>
    <col min="2311" max="2311" width="6.42578125" style="1454" customWidth="1"/>
    <col min="2312" max="2312" width="36.42578125" style="1454" customWidth="1"/>
    <col min="2313" max="2313" width="12.85546875" style="1454" customWidth="1"/>
    <col min="2314" max="2314" width="10.42578125" style="1454" customWidth="1"/>
    <col min="2315" max="2315" width="12.42578125" style="1454" customWidth="1"/>
    <col min="2316" max="2316" width="15.42578125" style="1454" customWidth="1"/>
    <col min="2317" max="2317" width="6.42578125" style="1454" customWidth="1"/>
    <col min="2318" max="2566" width="9" style="1454"/>
    <col min="2567" max="2567" width="6.42578125" style="1454" customWidth="1"/>
    <col min="2568" max="2568" width="36.42578125" style="1454" customWidth="1"/>
    <col min="2569" max="2569" width="12.85546875" style="1454" customWidth="1"/>
    <col min="2570" max="2570" width="10.42578125" style="1454" customWidth="1"/>
    <col min="2571" max="2571" width="12.42578125" style="1454" customWidth="1"/>
    <col min="2572" max="2572" width="15.42578125" style="1454" customWidth="1"/>
    <col min="2573" max="2573" width="6.42578125" style="1454" customWidth="1"/>
    <col min="2574" max="2822" width="9" style="1454"/>
    <col min="2823" max="2823" width="6.42578125" style="1454" customWidth="1"/>
    <col min="2824" max="2824" width="36.42578125" style="1454" customWidth="1"/>
    <col min="2825" max="2825" width="12.85546875" style="1454" customWidth="1"/>
    <col min="2826" max="2826" width="10.42578125" style="1454" customWidth="1"/>
    <col min="2827" max="2827" width="12.42578125" style="1454" customWidth="1"/>
    <col min="2828" max="2828" width="15.42578125" style="1454" customWidth="1"/>
    <col min="2829" max="2829" width="6.42578125" style="1454" customWidth="1"/>
    <col min="2830" max="3078" width="9" style="1454"/>
    <col min="3079" max="3079" width="6.42578125" style="1454" customWidth="1"/>
    <col min="3080" max="3080" width="36.42578125" style="1454" customWidth="1"/>
    <col min="3081" max="3081" width="12.85546875" style="1454" customWidth="1"/>
    <col min="3082" max="3082" width="10.42578125" style="1454" customWidth="1"/>
    <col min="3083" max="3083" width="12.42578125" style="1454" customWidth="1"/>
    <col min="3084" max="3084" width="15.42578125" style="1454" customWidth="1"/>
    <col min="3085" max="3085" width="6.42578125" style="1454" customWidth="1"/>
    <col min="3086" max="3334" width="9" style="1454"/>
    <col min="3335" max="3335" width="6.42578125" style="1454" customWidth="1"/>
    <col min="3336" max="3336" width="36.42578125" style="1454" customWidth="1"/>
    <col min="3337" max="3337" width="12.85546875" style="1454" customWidth="1"/>
    <col min="3338" max="3338" width="10.42578125" style="1454" customWidth="1"/>
    <col min="3339" max="3339" width="12.42578125" style="1454" customWidth="1"/>
    <col min="3340" max="3340" width="15.42578125" style="1454" customWidth="1"/>
    <col min="3341" max="3341" width="6.42578125" style="1454" customWidth="1"/>
    <col min="3342" max="3590" width="9" style="1454"/>
    <col min="3591" max="3591" width="6.42578125" style="1454" customWidth="1"/>
    <col min="3592" max="3592" width="36.42578125" style="1454" customWidth="1"/>
    <col min="3593" max="3593" width="12.85546875" style="1454" customWidth="1"/>
    <col min="3594" max="3594" width="10.42578125" style="1454" customWidth="1"/>
    <col min="3595" max="3595" width="12.42578125" style="1454" customWidth="1"/>
    <col min="3596" max="3596" width="15.42578125" style="1454" customWidth="1"/>
    <col min="3597" max="3597" width="6.42578125" style="1454" customWidth="1"/>
    <col min="3598" max="3846" width="9" style="1454"/>
    <col min="3847" max="3847" width="6.42578125" style="1454" customWidth="1"/>
    <col min="3848" max="3848" width="36.42578125" style="1454" customWidth="1"/>
    <col min="3849" max="3849" width="12.85546875" style="1454" customWidth="1"/>
    <col min="3850" max="3850" width="10.42578125" style="1454" customWidth="1"/>
    <col min="3851" max="3851" width="12.42578125" style="1454" customWidth="1"/>
    <col min="3852" max="3852" width="15.42578125" style="1454" customWidth="1"/>
    <col min="3853" max="3853" width="6.42578125" style="1454" customWidth="1"/>
    <col min="3854" max="4102" width="9" style="1454"/>
    <col min="4103" max="4103" width="6.42578125" style="1454" customWidth="1"/>
    <col min="4104" max="4104" width="36.42578125" style="1454" customWidth="1"/>
    <col min="4105" max="4105" width="12.85546875" style="1454" customWidth="1"/>
    <col min="4106" max="4106" width="10.42578125" style="1454" customWidth="1"/>
    <col min="4107" max="4107" width="12.42578125" style="1454" customWidth="1"/>
    <col min="4108" max="4108" width="15.42578125" style="1454" customWidth="1"/>
    <col min="4109" max="4109" width="6.42578125" style="1454" customWidth="1"/>
    <col min="4110" max="4358" width="9" style="1454"/>
    <col min="4359" max="4359" width="6.42578125" style="1454" customWidth="1"/>
    <col min="4360" max="4360" width="36.42578125" style="1454" customWidth="1"/>
    <col min="4361" max="4361" width="12.85546875" style="1454" customWidth="1"/>
    <col min="4362" max="4362" width="10.42578125" style="1454" customWidth="1"/>
    <col min="4363" max="4363" width="12.42578125" style="1454" customWidth="1"/>
    <col min="4364" max="4364" width="15.42578125" style="1454" customWidth="1"/>
    <col min="4365" max="4365" width="6.42578125" style="1454" customWidth="1"/>
    <col min="4366" max="4614" width="9" style="1454"/>
    <col min="4615" max="4615" width="6.42578125" style="1454" customWidth="1"/>
    <col min="4616" max="4616" width="36.42578125" style="1454" customWidth="1"/>
    <col min="4617" max="4617" width="12.85546875" style="1454" customWidth="1"/>
    <col min="4618" max="4618" width="10.42578125" style="1454" customWidth="1"/>
    <col min="4619" max="4619" width="12.42578125" style="1454" customWidth="1"/>
    <col min="4620" max="4620" width="15.42578125" style="1454" customWidth="1"/>
    <col min="4621" max="4621" width="6.42578125" style="1454" customWidth="1"/>
    <col min="4622" max="4870" width="9" style="1454"/>
    <col min="4871" max="4871" width="6.42578125" style="1454" customWidth="1"/>
    <col min="4872" max="4872" width="36.42578125" style="1454" customWidth="1"/>
    <col min="4873" max="4873" width="12.85546875" style="1454" customWidth="1"/>
    <col min="4874" max="4874" width="10.42578125" style="1454" customWidth="1"/>
    <col min="4875" max="4875" width="12.42578125" style="1454" customWidth="1"/>
    <col min="4876" max="4876" width="15.42578125" style="1454" customWidth="1"/>
    <col min="4877" max="4877" width="6.42578125" style="1454" customWidth="1"/>
    <col min="4878" max="5126" width="9" style="1454"/>
    <col min="5127" max="5127" width="6.42578125" style="1454" customWidth="1"/>
    <col min="5128" max="5128" width="36.42578125" style="1454" customWidth="1"/>
    <col min="5129" max="5129" width="12.85546875" style="1454" customWidth="1"/>
    <col min="5130" max="5130" width="10.42578125" style="1454" customWidth="1"/>
    <col min="5131" max="5131" width="12.42578125" style="1454" customWidth="1"/>
    <col min="5132" max="5132" width="15.42578125" style="1454" customWidth="1"/>
    <col min="5133" max="5133" width="6.42578125" style="1454" customWidth="1"/>
    <col min="5134" max="5382" width="9" style="1454"/>
    <col min="5383" max="5383" width="6.42578125" style="1454" customWidth="1"/>
    <col min="5384" max="5384" width="36.42578125" style="1454" customWidth="1"/>
    <col min="5385" max="5385" width="12.85546875" style="1454" customWidth="1"/>
    <col min="5386" max="5386" width="10.42578125" style="1454" customWidth="1"/>
    <col min="5387" max="5387" width="12.42578125" style="1454" customWidth="1"/>
    <col min="5388" max="5388" width="15.42578125" style="1454" customWidth="1"/>
    <col min="5389" max="5389" width="6.42578125" style="1454" customWidth="1"/>
    <col min="5390" max="5638" width="9" style="1454"/>
    <col min="5639" max="5639" width="6.42578125" style="1454" customWidth="1"/>
    <col min="5640" max="5640" width="36.42578125" style="1454" customWidth="1"/>
    <col min="5641" max="5641" width="12.85546875" style="1454" customWidth="1"/>
    <col min="5642" max="5642" width="10.42578125" style="1454" customWidth="1"/>
    <col min="5643" max="5643" width="12.42578125" style="1454" customWidth="1"/>
    <col min="5644" max="5644" width="15.42578125" style="1454" customWidth="1"/>
    <col min="5645" max="5645" width="6.42578125" style="1454" customWidth="1"/>
    <col min="5646" max="5894" width="9" style="1454"/>
    <col min="5895" max="5895" width="6.42578125" style="1454" customWidth="1"/>
    <col min="5896" max="5896" width="36.42578125" style="1454" customWidth="1"/>
    <col min="5897" max="5897" width="12.85546875" style="1454" customWidth="1"/>
    <col min="5898" max="5898" width="10.42578125" style="1454" customWidth="1"/>
    <col min="5899" max="5899" width="12.42578125" style="1454" customWidth="1"/>
    <col min="5900" max="5900" width="15.42578125" style="1454" customWidth="1"/>
    <col min="5901" max="5901" width="6.42578125" style="1454" customWidth="1"/>
    <col min="5902" max="6150" width="9" style="1454"/>
    <col min="6151" max="6151" width="6.42578125" style="1454" customWidth="1"/>
    <col min="6152" max="6152" width="36.42578125" style="1454" customWidth="1"/>
    <col min="6153" max="6153" width="12.85546875" style="1454" customWidth="1"/>
    <col min="6154" max="6154" width="10.42578125" style="1454" customWidth="1"/>
    <col min="6155" max="6155" width="12.42578125" style="1454" customWidth="1"/>
    <col min="6156" max="6156" width="15.42578125" style="1454" customWidth="1"/>
    <col min="6157" max="6157" width="6.42578125" style="1454" customWidth="1"/>
    <col min="6158" max="6406" width="9" style="1454"/>
    <col min="6407" max="6407" width="6.42578125" style="1454" customWidth="1"/>
    <col min="6408" max="6408" width="36.42578125" style="1454" customWidth="1"/>
    <col min="6409" max="6409" width="12.85546875" style="1454" customWidth="1"/>
    <col min="6410" max="6410" width="10.42578125" style="1454" customWidth="1"/>
    <col min="6411" max="6411" width="12.42578125" style="1454" customWidth="1"/>
    <col min="6412" max="6412" width="15.42578125" style="1454" customWidth="1"/>
    <col min="6413" max="6413" width="6.42578125" style="1454" customWidth="1"/>
    <col min="6414" max="6662" width="9" style="1454"/>
    <col min="6663" max="6663" width="6.42578125" style="1454" customWidth="1"/>
    <col min="6664" max="6664" width="36.42578125" style="1454" customWidth="1"/>
    <col min="6665" max="6665" width="12.85546875" style="1454" customWidth="1"/>
    <col min="6666" max="6666" width="10.42578125" style="1454" customWidth="1"/>
    <col min="6667" max="6667" width="12.42578125" style="1454" customWidth="1"/>
    <col min="6668" max="6668" width="15.42578125" style="1454" customWidth="1"/>
    <col min="6669" max="6669" width="6.42578125" style="1454" customWidth="1"/>
    <col min="6670" max="6918" width="9" style="1454"/>
    <col min="6919" max="6919" width="6.42578125" style="1454" customWidth="1"/>
    <col min="6920" max="6920" width="36.42578125" style="1454" customWidth="1"/>
    <col min="6921" max="6921" width="12.85546875" style="1454" customWidth="1"/>
    <col min="6922" max="6922" width="10.42578125" style="1454" customWidth="1"/>
    <col min="6923" max="6923" width="12.42578125" style="1454" customWidth="1"/>
    <col min="6924" max="6924" width="15.42578125" style="1454" customWidth="1"/>
    <col min="6925" max="6925" width="6.42578125" style="1454" customWidth="1"/>
    <col min="6926" max="7174" width="9" style="1454"/>
    <col min="7175" max="7175" width="6.42578125" style="1454" customWidth="1"/>
    <col min="7176" max="7176" width="36.42578125" style="1454" customWidth="1"/>
    <col min="7177" max="7177" width="12.85546875" style="1454" customWidth="1"/>
    <col min="7178" max="7178" width="10.42578125" style="1454" customWidth="1"/>
    <col min="7179" max="7179" width="12.42578125" style="1454" customWidth="1"/>
    <col min="7180" max="7180" width="15.42578125" style="1454" customWidth="1"/>
    <col min="7181" max="7181" width="6.42578125" style="1454" customWidth="1"/>
    <col min="7182" max="7430" width="9" style="1454"/>
    <col min="7431" max="7431" width="6.42578125" style="1454" customWidth="1"/>
    <col min="7432" max="7432" width="36.42578125" style="1454" customWidth="1"/>
    <col min="7433" max="7433" width="12.85546875" style="1454" customWidth="1"/>
    <col min="7434" max="7434" width="10.42578125" style="1454" customWidth="1"/>
    <col min="7435" max="7435" width="12.42578125" style="1454" customWidth="1"/>
    <col min="7436" max="7436" width="15.42578125" style="1454" customWidth="1"/>
    <col min="7437" max="7437" width="6.42578125" style="1454" customWidth="1"/>
    <col min="7438" max="7686" width="9" style="1454"/>
    <col min="7687" max="7687" width="6.42578125" style="1454" customWidth="1"/>
    <col min="7688" max="7688" width="36.42578125" style="1454" customWidth="1"/>
    <col min="7689" max="7689" width="12.85546875" style="1454" customWidth="1"/>
    <col min="7690" max="7690" width="10.42578125" style="1454" customWidth="1"/>
    <col min="7691" max="7691" width="12.42578125" style="1454" customWidth="1"/>
    <col min="7692" max="7692" width="15.42578125" style="1454" customWidth="1"/>
    <col min="7693" max="7693" width="6.42578125" style="1454" customWidth="1"/>
    <col min="7694" max="7942" width="9" style="1454"/>
    <col min="7943" max="7943" width="6.42578125" style="1454" customWidth="1"/>
    <col min="7944" max="7944" width="36.42578125" style="1454" customWidth="1"/>
    <col min="7945" max="7945" width="12.85546875" style="1454" customWidth="1"/>
    <col min="7946" max="7946" width="10.42578125" style="1454" customWidth="1"/>
    <col min="7947" max="7947" width="12.42578125" style="1454" customWidth="1"/>
    <col min="7948" max="7948" width="15.42578125" style="1454" customWidth="1"/>
    <col min="7949" max="7949" width="6.42578125" style="1454" customWidth="1"/>
    <col min="7950" max="8198" width="9" style="1454"/>
    <col min="8199" max="8199" width="6.42578125" style="1454" customWidth="1"/>
    <col min="8200" max="8200" width="36.42578125" style="1454" customWidth="1"/>
    <col min="8201" max="8201" width="12.85546875" style="1454" customWidth="1"/>
    <col min="8202" max="8202" width="10.42578125" style="1454" customWidth="1"/>
    <col min="8203" max="8203" width="12.42578125" style="1454" customWidth="1"/>
    <col min="8204" max="8204" width="15.42578125" style="1454" customWidth="1"/>
    <col min="8205" max="8205" width="6.42578125" style="1454" customWidth="1"/>
    <col min="8206" max="8454" width="9" style="1454"/>
    <col min="8455" max="8455" width="6.42578125" style="1454" customWidth="1"/>
    <col min="8456" max="8456" width="36.42578125" style="1454" customWidth="1"/>
    <col min="8457" max="8457" width="12.85546875" style="1454" customWidth="1"/>
    <col min="8458" max="8458" width="10.42578125" style="1454" customWidth="1"/>
    <col min="8459" max="8459" width="12.42578125" style="1454" customWidth="1"/>
    <col min="8460" max="8460" width="15.42578125" style="1454" customWidth="1"/>
    <col min="8461" max="8461" width="6.42578125" style="1454" customWidth="1"/>
    <col min="8462" max="8710" width="9" style="1454"/>
    <col min="8711" max="8711" width="6.42578125" style="1454" customWidth="1"/>
    <col min="8712" max="8712" width="36.42578125" style="1454" customWidth="1"/>
    <col min="8713" max="8713" width="12.85546875" style="1454" customWidth="1"/>
    <col min="8714" max="8714" width="10.42578125" style="1454" customWidth="1"/>
    <col min="8715" max="8715" width="12.42578125" style="1454" customWidth="1"/>
    <col min="8716" max="8716" width="15.42578125" style="1454" customWidth="1"/>
    <col min="8717" max="8717" width="6.42578125" style="1454" customWidth="1"/>
    <col min="8718" max="8966" width="9" style="1454"/>
    <col min="8967" max="8967" width="6.42578125" style="1454" customWidth="1"/>
    <col min="8968" max="8968" width="36.42578125" style="1454" customWidth="1"/>
    <col min="8969" max="8969" width="12.85546875" style="1454" customWidth="1"/>
    <col min="8970" max="8970" width="10.42578125" style="1454" customWidth="1"/>
    <col min="8971" max="8971" width="12.42578125" style="1454" customWidth="1"/>
    <col min="8972" max="8972" width="15.42578125" style="1454" customWidth="1"/>
    <col min="8973" max="8973" width="6.42578125" style="1454" customWidth="1"/>
    <col min="8974" max="9222" width="9" style="1454"/>
    <col min="9223" max="9223" width="6.42578125" style="1454" customWidth="1"/>
    <col min="9224" max="9224" width="36.42578125" style="1454" customWidth="1"/>
    <col min="9225" max="9225" width="12.85546875" style="1454" customWidth="1"/>
    <col min="9226" max="9226" width="10.42578125" style="1454" customWidth="1"/>
    <col min="9227" max="9227" width="12.42578125" style="1454" customWidth="1"/>
    <col min="9228" max="9228" width="15.42578125" style="1454" customWidth="1"/>
    <col min="9229" max="9229" width="6.42578125" style="1454" customWidth="1"/>
    <col min="9230" max="9478" width="9" style="1454"/>
    <col min="9479" max="9479" width="6.42578125" style="1454" customWidth="1"/>
    <col min="9480" max="9480" width="36.42578125" style="1454" customWidth="1"/>
    <col min="9481" max="9481" width="12.85546875" style="1454" customWidth="1"/>
    <col min="9482" max="9482" width="10.42578125" style="1454" customWidth="1"/>
    <col min="9483" max="9483" width="12.42578125" style="1454" customWidth="1"/>
    <col min="9484" max="9484" width="15.42578125" style="1454" customWidth="1"/>
    <col min="9485" max="9485" width="6.42578125" style="1454" customWidth="1"/>
    <col min="9486" max="9734" width="9" style="1454"/>
    <col min="9735" max="9735" width="6.42578125" style="1454" customWidth="1"/>
    <col min="9736" max="9736" width="36.42578125" style="1454" customWidth="1"/>
    <col min="9737" max="9737" width="12.85546875" style="1454" customWidth="1"/>
    <col min="9738" max="9738" width="10.42578125" style="1454" customWidth="1"/>
    <col min="9739" max="9739" width="12.42578125" style="1454" customWidth="1"/>
    <col min="9740" max="9740" width="15.42578125" style="1454" customWidth="1"/>
    <col min="9741" max="9741" width="6.42578125" style="1454" customWidth="1"/>
    <col min="9742" max="9990" width="9" style="1454"/>
    <col min="9991" max="9991" width="6.42578125" style="1454" customWidth="1"/>
    <col min="9992" max="9992" width="36.42578125" style="1454" customWidth="1"/>
    <col min="9993" max="9993" width="12.85546875" style="1454" customWidth="1"/>
    <col min="9994" max="9994" width="10.42578125" style="1454" customWidth="1"/>
    <col min="9995" max="9995" width="12.42578125" style="1454" customWidth="1"/>
    <col min="9996" max="9996" width="15.42578125" style="1454" customWidth="1"/>
    <col min="9997" max="9997" width="6.42578125" style="1454" customWidth="1"/>
    <col min="9998" max="10246" width="9" style="1454"/>
    <col min="10247" max="10247" width="6.42578125" style="1454" customWidth="1"/>
    <col min="10248" max="10248" width="36.42578125" style="1454" customWidth="1"/>
    <col min="10249" max="10249" width="12.85546875" style="1454" customWidth="1"/>
    <col min="10250" max="10250" width="10.42578125" style="1454" customWidth="1"/>
    <col min="10251" max="10251" width="12.42578125" style="1454" customWidth="1"/>
    <col min="10252" max="10252" width="15.42578125" style="1454" customWidth="1"/>
    <col min="10253" max="10253" width="6.42578125" style="1454" customWidth="1"/>
    <col min="10254" max="10502" width="9" style="1454"/>
    <col min="10503" max="10503" width="6.42578125" style="1454" customWidth="1"/>
    <col min="10504" max="10504" width="36.42578125" style="1454" customWidth="1"/>
    <col min="10505" max="10505" width="12.85546875" style="1454" customWidth="1"/>
    <col min="10506" max="10506" width="10.42578125" style="1454" customWidth="1"/>
    <col min="10507" max="10507" width="12.42578125" style="1454" customWidth="1"/>
    <col min="10508" max="10508" width="15.42578125" style="1454" customWidth="1"/>
    <col min="10509" max="10509" width="6.42578125" style="1454" customWidth="1"/>
    <col min="10510" max="10758" width="9" style="1454"/>
    <col min="10759" max="10759" width="6.42578125" style="1454" customWidth="1"/>
    <col min="10760" max="10760" width="36.42578125" style="1454" customWidth="1"/>
    <col min="10761" max="10761" width="12.85546875" style="1454" customWidth="1"/>
    <col min="10762" max="10762" width="10.42578125" style="1454" customWidth="1"/>
    <col min="10763" max="10763" width="12.42578125" style="1454" customWidth="1"/>
    <col min="10764" max="10764" width="15.42578125" style="1454" customWidth="1"/>
    <col min="10765" max="10765" width="6.42578125" style="1454" customWidth="1"/>
    <col min="10766" max="11014" width="9" style="1454"/>
    <col min="11015" max="11015" width="6.42578125" style="1454" customWidth="1"/>
    <col min="11016" max="11016" width="36.42578125" style="1454" customWidth="1"/>
    <col min="11017" max="11017" width="12.85546875" style="1454" customWidth="1"/>
    <col min="11018" max="11018" width="10.42578125" style="1454" customWidth="1"/>
    <col min="11019" max="11019" width="12.42578125" style="1454" customWidth="1"/>
    <col min="11020" max="11020" width="15.42578125" style="1454" customWidth="1"/>
    <col min="11021" max="11021" width="6.42578125" style="1454" customWidth="1"/>
    <col min="11022" max="11270" width="9" style="1454"/>
    <col min="11271" max="11271" width="6.42578125" style="1454" customWidth="1"/>
    <col min="11272" max="11272" width="36.42578125" style="1454" customWidth="1"/>
    <col min="11273" max="11273" width="12.85546875" style="1454" customWidth="1"/>
    <col min="11274" max="11274" width="10.42578125" style="1454" customWidth="1"/>
    <col min="11275" max="11275" width="12.42578125" style="1454" customWidth="1"/>
    <col min="11276" max="11276" width="15.42578125" style="1454" customWidth="1"/>
    <col min="11277" max="11277" width="6.42578125" style="1454" customWidth="1"/>
    <col min="11278" max="11526" width="9" style="1454"/>
    <col min="11527" max="11527" width="6.42578125" style="1454" customWidth="1"/>
    <col min="11528" max="11528" width="36.42578125" style="1454" customWidth="1"/>
    <col min="11529" max="11529" width="12.85546875" style="1454" customWidth="1"/>
    <col min="11530" max="11530" width="10.42578125" style="1454" customWidth="1"/>
    <col min="11531" max="11531" width="12.42578125" style="1454" customWidth="1"/>
    <col min="11532" max="11532" width="15.42578125" style="1454" customWidth="1"/>
    <col min="11533" max="11533" width="6.42578125" style="1454" customWidth="1"/>
    <col min="11534" max="11782" width="9" style="1454"/>
    <col min="11783" max="11783" width="6.42578125" style="1454" customWidth="1"/>
    <col min="11784" max="11784" width="36.42578125" style="1454" customWidth="1"/>
    <col min="11785" max="11785" width="12.85546875" style="1454" customWidth="1"/>
    <col min="11786" max="11786" width="10.42578125" style="1454" customWidth="1"/>
    <col min="11787" max="11787" width="12.42578125" style="1454" customWidth="1"/>
    <col min="11788" max="11788" width="15.42578125" style="1454" customWidth="1"/>
    <col min="11789" max="11789" width="6.42578125" style="1454" customWidth="1"/>
    <col min="11790" max="12038" width="9" style="1454"/>
    <col min="12039" max="12039" width="6.42578125" style="1454" customWidth="1"/>
    <col min="12040" max="12040" width="36.42578125" style="1454" customWidth="1"/>
    <col min="12041" max="12041" width="12.85546875" style="1454" customWidth="1"/>
    <col min="12042" max="12042" width="10.42578125" style="1454" customWidth="1"/>
    <col min="12043" max="12043" width="12.42578125" style="1454" customWidth="1"/>
    <col min="12044" max="12044" width="15.42578125" style="1454" customWidth="1"/>
    <col min="12045" max="12045" width="6.42578125" style="1454" customWidth="1"/>
    <col min="12046" max="12294" width="9" style="1454"/>
    <col min="12295" max="12295" width="6.42578125" style="1454" customWidth="1"/>
    <col min="12296" max="12296" width="36.42578125" style="1454" customWidth="1"/>
    <col min="12297" max="12297" width="12.85546875" style="1454" customWidth="1"/>
    <col min="12298" max="12298" width="10.42578125" style="1454" customWidth="1"/>
    <col min="12299" max="12299" width="12.42578125" style="1454" customWidth="1"/>
    <col min="12300" max="12300" width="15.42578125" style="1454" customWidth="1"/>
    <col min="12301" max="12301" width="6.42578125" style="1454" customWidth="1"/>
    <col min="12302" max="12550" width="9" style="1454"/>
    <col min="12551" max="12551" width="6.42578125" style="1454" customWidth="1"/>
    <col min="12552" max="12552" width="36.42578125" style="1454" customWidth="1"/>
    <col min="12553" max="12553" width="12.85546875" style="1454" customWidth="1"/>
    <col min="12554" max="12554" width="10.42578125" style="1454" customWidth="1"/>
    <col min="12555" max="12555" width="12.42578125" style="1454" customWidth="1"/>
    <col min="12556" max="12556" width="15.42578125" style="1454" customWidth="1"/>
    <col min="12557" max="12557" width="6.42578125" style="1454" customWidth="1"/>
    <col min="12558" max="12806" width="9" style="1454"/>
    <col min="12807" max="12807" width="6.42578125" style="1454" customWidth="1"/>
    <col min="12808" max="12808" width="36.42578125" style="1454" customWidth="1"/>
    <col min="12809" max="12809" width="12.85546875" style="1454" customWidth="1"/>
    <col min="12810" max="12810" width="10.42578125" style="1454" customWidth="1"/>
    <col min="12811" max="12811" width="12.42578125" style="1454" customWidth="1"/>
    <col min="12812" max="12812" width="15.42578125" style="1454" customWidth="1"/>
    <col min="12813" max="12813" width="6.42578125" style="1454" customWidth="1"/>
    <col min="12814" max="13062" width="9" style="1454"/>
    <col min="13063" max="13063" width="6.42578125" style="1454" customWidth="1"/>
    <col min="13064" max="13064" width="36.42578125" style="1454" customWidth="1"/>
    <col min="13065" max="13065" width="12.85546875" style="1454" customWidth="1"/>
    <col min="13066" max="13066" width="10.42578125" style="1454" customWidth="1"/>
    <col min="13067" max="13067" width="12.42578125" style="1454" customWidth="1"/>
    <col min="13068" max="13068" width="15.42578125" style="1454" customWidth="1"/>
    <col min="13069" max="13069" width="6.42578125" style="1454" customWidth="1"/>
    <col min="13070" max="13318" width="9" style="1454"/>
    <col min="13319" max="13319" width="6.42578125" style="1454" customWidth="1"/>
    <col min="13320" max="13320" width="36.42578125" style="1454" customWidth="1"/>
    <col min="13321" max="13321" width="12.85546875" style="1454" customWidth="1"/>
    <col min="13322" max="13322" width="10.42578125" style="1454" customWidth="1"/>
    <col min="13323" max="13323" width="12.42578125" style="1454" customWidth="1"/>
    <col min="13324" max="13324" width="15.42578125" style="1454" customWidth="1"/>
    <col min="13325" max="13325" width="6.42578125" style="1454" customWidth="1"/>
    <col min="13326" max="13574" width="9" style="1454"/>
    <col min="13575" max="13575" width="6.42578125" style="1454" customWidth="1"/>
    <col min="13576" max="13576" width="36.42578125" style="1454" customWidth="1"/>
    <col min="13577" max="13577" width="12.85546875" style="1454" customWidth="1"/>
    <col min="13578" max="13578" width="10.42578125" style="1454" customWidth="1"/>
    <col min="13579" max="13579" width="12.42578125" style="1454" customWidth="1"/>
    <col min="13580" max="13580" width="15.42578125" style="1454" customWidth="1"/>
    <col min="13581" max="13581" width="6.42578125" style="1454" customWidth="1"/>
    <col min="13582" max="13830" width="9" style="1454"/>
    <col min="13831" max="13831" width="6.42578125" style="1454" customWidth="1"/>
    <col min="13832" max="13832" width="36.42578125" style="1454" customWidth="1"/>
    <col min="13833" max="13833" width="12.85546875" style="1454" customWidth="1"/>
    <col min="13834" max="13834" width="10.42578125" style="1454" customWidth="1"/>
    <col min="13835" max="13835" width="12.42578125" style="1454" customWidth="1"/>
    <col min="13836" max="13836" width="15.42578125" style="1454" customWidth="1"/>
    <col min="13837" max="13837" width="6.42578125" style="1454" customWidth="1"/>
    <col min="13838" max="14086" width="9" style="1454"/>
    <col min="14087" max="14087" width="6.42578125" style="1454" customWidth="1"/>
    <col min="14088" max="14088" width="36.42578125" style="1454" customWidth="1"/>
    <col min="14089" max="14089" width="12.85546875" style="1454" customWidth="1"/>
    <col min="14090" max="14090" width="10.42578125" style="1454" customWidth="1"/>
    <col min="14091" max="14091" width="12.42578125" style="1454" customWidth="1"/>
    <col min="14092" max="14092" width="15.42578125" style="1454" customWidth="1"/>
    <col min="14093" max="14093" width="6.42578125" style="1454" customWidth="1"/>
    <col min="14094" max="14342" width="9" style="1454"/>
    <col min="14343" max="14343" width="6.42578125" style="1454" customWidth="1"/>
    <col min="14344" max="14344" width="36.42578125" style="1454" customWidth="1"/>
    <col min="14345" max="14345" width="12.85546875" style="1454" customWidth="1"/>
    <col min="14346" max="14346" width="10.42578125" style="1454" customWidth="1"/>
    <col min="14347" max="14347" width="12.42578125" style="1454" customWidth="1"/>
    <col min="14348" max="14348" width="15.42578125" style="1454" customWidth="1"/>
    <col min="14349" max="14349" width="6.42578125" style="1454" customWidth="1"/>
    <col min="14350" max="14598" width="9" style="1454"/>
    <col min="14599" max="14599" width="6.42578125" style="1454" customWidth="1"/>
    <col min="14600" max="14600" width="36.42578125" style="1454" customWidth="1"/>
    <col min="14601" max="14601" width="12.85546875" style="1454" customWidth="1"/>
    <col min="14602" max="14602" width="10.42578125" style="1454" customWidth="1"/>
    <col min="14603" max="14603" width="12.42578125" style="1454" customWidth="1"/>
    <col min="14604" max="14604" width="15.42578125" style="1454" customWidth="1"/>
    <col min="14605" max="14605" width="6.42578125" style="1454" customWidth="1"/>
    <col min="14606" max="14854" width="9" style="1454"/>
    <col min="14855" max="14855" width="6.42578125" style="1454" customWidth="1"/>
    <col min="14856" max="14856" width="36.42578125" style="1454" customWidth="1"/>
    <col min="14857" max="14857" width="12.85546875" style="1454" customWidth="1"/>
    <col min="14858" max="14858" width="10.42578125" style="1454" customWidth="1"/>
    <col min="14859" max="14859" width="12.42578125" style="1454" customWidth="1"/>
    <col min="14860" max="14860" width="15.42578125" style="1454" customWidth="1"/>
    <col min="14861" max="14861" width="6.42578125" style="1454" customWidth="1"/>
    <col min="14862" max="15110" width="9" style="1454"/>
    <col min="15111" max="15111" width="6.42578125" style="1454" customWidth="1"/>
    <col min="15112" max="15112" width="36.42578125" style="1454" customWidth="1"/>
    <col min="15113" max="15113" width="12.85546875" style="1454" customWidth="1"/>
    <col min="15114" max="15114" width="10.42578125" style="1454" customWidth="1"/>
    <col min="15115" max="15115" width="12.42578125" style="1454" customWidth="1"/>
    <col min="15116" max="15116" width="15.42578125" style="1454" customWidth="1"/>
    <col min="15117" max="15117" width="6.42578125" style="1454" customWidth="1"/>
    <col min="15118" max="15366" width="9" style="1454"/>
    <col min="15367" max="15367" width="6.42578125" style="1454" customWidth="1"/>
    <col min="15368" max="15368" width="36.42578125" style="1454" customWidth="1"/>
    <col min="15369" max="15369" width="12.85546875" style="1454" customWidth="1"/>
    <col min="15370" max="15370" width="10.42578125" style="1454" customWidth="1"/>
    <col min="15371" max="15371" width="12.42578125" style="1454" customWidth="1"/>
    <col min="15372" max="15372" width="15.42578125" style="1454" customWidth="1"/>
    <col min="15373" max="15373" width="6.42578125" style="1454" customWidth="1"/>
    <col min="15374" max="15622" width="9" style="1454"/>
    <col min="15623" max="15623" width="6.42578125" style="1454" customWidth="1"/>
    <col min="15624" max="15624" width="36.42578125" style="1454" customWidth="1"/>
    <col min="15625" max="15625" width="12.85546875" style="1454" customWidth="1"/>
    <col min="15626" max="15626" width="10.42578125" style="1454" customWidth="1"/>
    <col min="15627" max="15627" width="12.42578125" style="1454" customWidth="1"/>
    <col min="15628" max="15628" width="15.42578125" style="1454" customWidth="1"/>
    <col min="15629" max="15629" width="6.42578125" style="1454" customWidth="1"/>
    <col min="15630" max="15878" width="9" style="1454"/>
    <col min="15879" max="15879" width="6.42578125" style="1454" customWidth="1"/>
    <col min="15880" max="15880" width="36.42578125" style="1454" customWidth="1"/>
    <col min="15881" max="15881" width="12.85546875" style="1454" customWidth="1"/>
    <col min="15882" max="15882" width="10.42578125" style="1454" customWidth="1"/>
    <col min="15883" max="15883" width="12.42578125" style="1454" customWidth="1"/>
    <col min="15884" max="15884" width="15.42578125" style="1454" customWidth="1"/>
    <col min="15885" max="15885" width="6.42578125" style="1454" customWidth="1"/>
    <col min="15886" max="16134" width="9" style="1454"/>
    <col min="16135" max="16135" width="6.42578125" style="1454" customWidth="1"/>
    <col min="16136" max="16136" width="36.42578125" style="1454" customWidth="1"/>
    <col min="16137" max="16137" width="12.85546875" style="1454" customWidth="1"/>
    <col min="16138" max="16138" width="10.42578125" style="1454" customWidth="1"/>
    <col min="16139" max="16139" width="12.42578125" style="1454" customWidth="1"/>
    <col min="16140" max="16140" width="15.42578125" style="1454" customWidth="1"/>
    <col min="16141" max="16141" width="6.42578125" style="1454" customWidth="1"/>
    <col min="16142" max="16384" width="9" style="1454"/>
  </cols>
  <sheetData>
    <row r="1" spans="1:17" ht="29.25" customHeight="1">
      <c r="A1" s="30"/>
      <c r="B1" s="257" t="s">
        <v>1313</v>
      </c>
      <c r="C1" s="257"/>
      <c r="D1" s="756"/>
      <c r="E1" s="756"/>
      <c r="F1" s="47"/>
      <c r="G1" s="47"/>
      <c r="H1" s="47"/>
      <c r="I1" s="47"/>
      <c r="J1" s="47"/>
      <c r="K1" s="47"/>
      <c r="L1" s="47"/>
      <c r="M1" s="47"/>
    </row>
    <row r="2" spans="1:17" ht="18.75">
      <c r="A2" s="30"/>
      <c r="B2" s="8" t="str">
        <f>'Bia-TMDT'!C17&amp;'Bia-TMDT'!E17</f>
        <v>DỰ ÁN: ĐIỀU CHỈNH, BỔ SUNG, ĐƠN GIÁ XÂY DỰNG CỦA MỘT SỐ LOẠI CÔNG TRÌNH ĐỂ XÁC ĐỊNH GIÁ TRỊ BỒI
THƯỜNG ĐỐI VỚI NHÀ Ở, CÔNG TRÌNH PHẢI THÁO DỠ KHI NHÀ NƯỚC THU HỒI ĐẤT TRÊN ĐỊA BÀN TỈNH SƠN LA</v>
      </c>
      <c r="C2" s="101"/>
      <c r="D2" s="255"/>
      <c r="E2" s="255"/>
      <c r="F2" s="1507"/>
      <c r="G2" s="1507"/>
      <c r="H2" s="1507"/>
      <c r="I2" s="1507"/>
      <c r="J2" s="1507"/>
      <c r="K2" s="1507"/>
      <c r="L2" s="1507"/>
      <c r="M2" s="1507"/>
    </row>
    <row r="3" spans="1:17" ht="18.75">
      <c r="A3" s="30"/>
      <c r="B3" s="8"/>
      <c r="C3" s="101"/>
      <c r="D3" s="255"/>
      <c r="E3" s="255"/>
      <c r="F3" s="1507"/>
      <c r="G3" s="1507"/>
      <c r="H3" s="1507"/>
      <c r="I3" s="1507"/>
      <c r="J3" s="1507"/>
      <c r="K3" s="1507"/>
      <c r="L3" s="1507"/>
      <c r="M3" s="1507"/>
    </row>
    <row r="4" spans="1:17" s="26" customFormat="1" ht="17.25" hidden="1" customHeight="1">
      <c r="A4" s="64"/>
      <c r="B4" s="64"/>
      <c r="C4" s="1505" t="s">
        <v>1314</v>
      </c>
      <c r="D4" s="1504"/>
      <c r="E4" s="1504"/>
      <c r="F4" s="67"/>
      <c r="G4" s="67"/>
      <c r="H4" s="64"/>
      <c r="I4" s="64"/>
      <c r="J4" s="64"/>
      <c r="K4" s="64"/>
      <c r="L4" s="64"/>
      <c r="M4" s="1506" t="s">
        <v>1312</v>
      </c>
    </row>
    <row r="5" spans="1:17" s="26" customFormat="1" hidden="1">
      <c r="A5" s="64"/>
      <c r="B5" s="64"/>
      <c r="C5" s="1505" t="s">
        <v>1311</v>
      </c>
      <c r="D5" s="1504"/>
      <c r="E5" s="1504"/>
      <c r="F5" s="1458"/>
      <c r="G5" s="1458"/>
      <c r="H5" s="1458"/>
      <c r="I5" s="474"/>
      <c r="J5" s="474"/>
      <c r="K5" s="474"/>
      <c r="L5" s="474"/>
      <c r="M5" s="474"/>
    </row>
    <row r="6" spans="1:17" customFormat="1" ht="15.75">
      <c r="A6" s="155"/>
      <c r="B6" s="1503"/>
      <c r="C6" s="1503"/>
      <c r="D6" s="1502"/>
      <c r="E6" s="1502"/>
      <c r="F6" s="1501"/>
      <c r="G6" s="1501"/>
      <c r="H6" s="1500"/>
      <c r="I6" s="1499"/>
      <c r="J6" s="1499"/>
      <c r="K6" s="1499"/>
      <c r="L6" s="1498" t="s">
        <v>310</v>
      </c>
      <c r="M6" s="1455"/>
    </row>
    <row r="7" spans="1:17" s="1494" customFormat="1" ht="31.5" customHeight="1">
      <c r="A7" s="1497" t="s">
        <v>390</v>
      </c>
      <c r="B7" s="1496" t="s">
        <v>196</v>
      </c>
      <c r="C7" s="1496" t="s">
        <v>1310</v>
      </c>
      <c r="D7" s="1496" t="s">
        <v>121</v>
      </c>
      <c r="E7" s="1496" t="s">
        <v>1309</v>
      </c>
      <c r="F7" s="1496" t="s">
        <v>122</v>
      </c>
      <c r="G7" s="1496" t="s">
        <v>1308</v>
      </c>
      <c r="H7" s="1496" t="s">
        <v>136</v>
      </c>
      <c r="I7" s="1496" t="s">
        <v>1307</v>
      </c>
      <c r="J7" s="1496" t="s">
        <v>127</v>
      </c>
      <c r="K7" s="1496" t="s">
        <v>1306</v>
      </c>
      <c r="L7" s="1496" t="s">
        <v>1305</v>
      </c>
      <c r="M7" s="1496" t="s">
        <v>130</v>
      </c>
      <c r="N7" s="802"/>
      <c r="O7" s="1495"/>
      <c r="P7" s="1495"/>
      <c r="Q7" s="1495"/>
    </row>
    <row r="8" spans="1:17" customFormat="1">
      <c r="A8" s="625" t="s">
        <v>1304</v>
      </c>
      <c r="B8" s="1491" t="s">
        <v>273</v>
      </c>
      <c r="C8" s="1493" t="s">
        <v>276</v>
      </c>
      <c r="D8" s="1492" t="s">
        <v>277</v>
      </c>
      <c r="E8" s="1492" t="s">
        <v>278</v>
      </c>
      <c r="F8" s="1492" t="s">
        <v>279</v>
      </c>
      <c r="G8" s="1492" t="s">
        <v>280</v>
      </c>
      <c r="H8" s="1492" t="s">
        <v>282</v>
      </c>
      <c r="I8" s="1491" t="s">
        <v>283</v>
      </c>
      <c r="J8" s="1491" t="s">
        <v>288</v>
      </c>
      <c r="K8" s="1492" t="s">
        <v>292</v>
      </c>
      <c r="L8" s="1491" t="s">
        <v>293</v>
      </c>
      <c r="M8" s="1491" t="s">
        <v>294</v>
      </c>
    </row>
    <row r="9" spans="1:17" s="1470" customFormat="1" ht="16.5" customHeight="1">
      <c r="A9" s="1490"/>
      <c r="B9" s="1351" t="s">
        <v>73</v>
      </c>
      <c r="C9" s="1351"/>
      <c r="D9" s="1489" t="s">
        <v>1303</v>
      </c>
      <c r="E9" s="1489"/>
      <c r="F9" s="1351"/>
      <c r="G9" s="1487"/>
      <c r="H9" s="1488"/>
      <c r="I9" s="1487"/>
      <c r="J9" s="1487"/>
      <c r="K9" s="1487"/>
      <c r="L9" s="1508">
        <f>SUMIF(A10:A13,"HM",L10:L13)</f>
        <v>0</v>
      </c>
      <c r="M9" s="1486"/>
      <c r="N9" s="1411"/>
      <c r="O9" s="1477"/>
      <c r="P9" s="1477"/>
      <c r="Q9" s="1477"/>
    </row>
    <row r="10" spans="1:17" s="1470" customFormat="1" ht="16.5" customHeight="1">
      <c r="A10" s="1474"/>
      <c r="B10" s="1482"/>
      <c r="C10" s="1468"/>
      <c r="D10" s="1471"/>
      <c r="E10" s="1471"/>
      <c r="F10" s="1482"/>
      <c r="G10" s="1484"/>
      <c r="H10" s="1485"/>
      <c r="I10" s="1484"/>
      <c r="J10" s="1484"/>
      <c r="K10" s="1484"/>
      <c r="L10" s="1509">
        <f>PRODUCT(H10:J10)</f>
        <v>0</v>
      </c>
      <c r="M10" s="1483"/>
      <c r="N10" s="1411"/>
      <c r="O10" s="1477"/>
      <c r="P10" s="1477"/>
      <c r="Q10" s="1477"/>
    </row>
    <row r="11" spans="1:17" s="1470" customFormat="1" ht="16.5" customHeight="1">
      <c r="A11" s="1474"/>
      <c r="B11" s="1482"/>
      <c r="C11" s="1468"/>
      <c r="D11" s="1471"/>
      <c r="E11" s="1471"/>
      <c r="F11" s="1482"/>
      <c r="G11" s="1484"/>
      <c r="H11" s="1485"/>
      <c r="I11" s="1484"/>
      <c r="J11" s="1484"/>
      <c r="K11" s="1484"/>
      <c r="L11" s="1509">
        <f>PRODUCT(H11:J11)</f>
        <v>0</v>
      </c>
      <c r="M11" s="1483"/>
      <c r="N11" s="1411"/>
      <c r="O11" s="1477"/>
      <c r="P11" s="1477"/>
      <c r="Q11" s="1477"/>
    </row>
    <row r="12" spans="1:17" s="1475" customFormat="1">
      <c r="A12" s="636"/>
      <c r="B12" s="1482"/>
      <c r="C12" s="1468"/>
      <c r="D12" s="1464"/>
      <c r="E12" s="1464"/>
      <c r="F12" s="1481"/>
      <c r="G12" s="1479"/>
      <c r="H12" s="1480"/>
      <c r="I12" s="1479"/>
      <c r="J12" s="1479"/>
      <c r="K12" s="1479"/>
      <c r="L12" s="1509">
        <f>PRODUCT(H12:J12)</f>
        <v>0</v>
      </c>
      <c r="M12" s="1478"/>
      <c r="N12" s="1476"/>
      <c r="O12" s="1476"/>
      <c r="P12" s="1476"/>
      <c r="Q12" s="1476"/>
    </row>
    <row r="13" spans="1:17" s="1475" customFormat="1" ht="16.5" customHeight="1">
      <c r="A13" s="636"/>
      <c r="B13" s="1482"/>
      <c r="C13" s="1468"/>
      <c r="D13" s="1464"/>
      <c r="E13" s="1464"/>
      <c r="F13" s="1481"/>
      <c r="G13" s="1479"/>
      <c r="H13" s="1480"/>
      <c r="I13" s="1479"/>
      <c r="J13" s="1479"/>
      <c r="K13" s="1479"/>
      <c r="L13" s="1509">
        <f>PRODUCT(H13:J13)</f>
        <v>0</v>
      </c>
      <c r="M13" s="1478"/>
      <c r="N13" s="1476"/>
      <c r="O13" s="1476"/>
      <c r="P13" s="1476"/>
      <c r="Q13" s="1476"/>
    </row>
    <row r="14" spans="1:17" s="1470" customFormat="1" ht="16.5" customHeight="1">
      <c r="A14" s="1474"/>
      <c r="B14" s="1469" t="s">
        <v>75</v>
      </c>
      <c r="C14" s="1469"/>
      <c r="D14" s="1471" t="s">
        <v>1302</v>
      </c>
      <c r="E14" s="1471"/>
      <c r="F14" s="1469"/>
      <c r="G14" s="1472"/>
      <c r="H14" s="1473"/>
      <c r="I14" s="1472"/>
      <c r="J14" s="1472"/>
      <c r="K14" s="1472"/>
      <c r="L14" s="1509">
        <f>SUMIF(A15:A18,"HM",L15:L18)</f>
        <v>0</v>
      </c>
      <c r="M14" s="1471"/>
      <c r="N14" s="1477"/>
      <c r="O14" s="1477"/>
      <c r="P14" s="1477"/>
      <c r="Q14" s="1477"/>
    </row>
    <row r="15" spans="1:17" s="1475" customFormat="1" ht="16.5" customHeight="1">
      <c r="A15" s="636"/>
      <c r="B15" s="1469"/>
      <c r="C15" s="1469"/>
      <c r="D15" s="1471"/>
      <c r="E15" s="1471"/>
      <c r="F15" s="1468"/>
      <c r="G15" s="1466"/>
      <c r="H15" s="1467"/>
      <c r="I15" s="1472"/>
      <c r="J15" s="1466"/>
      <c r="K15" s="1466"/>
      <c r="L15" s="1509">
        <f>PRODUCT(H15:J15)</f>
        <v>0</v>
      </c>
      <c r="M15" s="1464"/>
      <c r="N15" s="1476"/>
      <c r="O15" s="1476"/>
      <c r="P15" s="1476"/>
      <c r="Q15" s="1476"/>
    </row>
    <row r="16" spans="1:17" s="26" customFormat="1" ht="16.5" customHeight="1">
      <c r="A16" s="636"/>
      <c r="B16" s="1469"/>
      <c r="C16" s="1468"/>
      <c r="D16" s="1464"/>
      <c r="E16" s="1464"/>
      <c r="F16" s="1468"/>
      <c r="G16" s="1466"/>
      <c r="H16" s="1467"/>
      <c r="I16" s="1472"/>
      <c r="J16" s="1466"/>
      <c r="K16" s="1466"/>
      <c r="L16" s="1509">
        <f>PRODUCT(H16:J16)</f>
        <v>0</v>
      </c>
      <c r="M16" s="1464"/>
    </row>
    <row r="17" spans="1:13" s="1475" customFormat="1" ht="16.5" customHeight="1">
      <c r="A17" s="636"/>
      <c r="B17" s="1469"/>
      <c r="C17" s="1468"/>
      <c r="D17" s="1464"/>
      <c r="E17" s="1464"/>
      <c r="F17" s="1468"/>
      <c r="G17" s="1466"/>
      <c r="H17" s="1466"/>
      <c r="I17" s="1466"/>
      <c r="J17" s="1466"/>
      <c r="K17" s="1466"/>
      <c r="L17" s="1509">
        <f>PRODUCT(H17:J17)</f>
        <v>0</v>
      </c>
      <c r="M17" s="1464"/>
    </row>
    <row r="18" spans="1:13" s="26" customFormat="1" ht="16.5" customHeight="1">
      <c r="A18" s="636"/>
      <c r="B18" s="1469"/>
      <c r="C18" s="1468"/>
      <c r="D18" s="1464"/>
      <c r="E18" s="1464"/>
      <c r="F18" s="1468"/>
      <c r="G18" s="1466"/>
      <c r="H18" s="1466"/>
      <c r="I18" s="1466"/>
      <c r="J18" s="1466"/>
      <c r="K18" s="1466"/>
      <c r="L18" s="1509">
        <f>PRODUCT(H18:J18)</f>
        <v>0</v>
      </c>
      <c r="M18" s="1464"/>
    </row>
    <row r="19" spans="1:13" s="1470" customFormat="1" ht="28.5">
      <c r="A19" s="1474"/>
      <c r="B19" s="1469" t="s">
        <v>77</v>
      </c>
      <c r="C19" s="1469"/>
      <c r="D19" s="1471" t="s">
        <v>1301</v>
      </c>
      <c r="E19" s="1471"/>
      <c r="F19" s="1469"/>
      <c r="G19" s="1472"/>
      <c r="H19" s="1473"/>
      <c r="I19" s="1472"/>
      <c r="J19" s="1472"/>
      <c r="K19" s="1472"/>
      <c r="L19" s="1509">
        <f>SUMIF(A20:A23,"HM",L20:L23)</f>
        <v>0</v>
      </c>
      <c r="M19" s="1471"/>
    </row>
    <row r="20" spans="1:13" s="1470" customFormat="1" ht="14.25">
      <c r="A20" s="1474"/>
      <c r="B20" s="1469"/>
      <c r="C20" s="1469"/>
      <c r="D20" s="1471"/>
      <c r="E20" s="1471"/>
      <c r="F20" s="1469"/>
      <c r="G20" s="1472"/>
      <c r="H20" s="1473"/>
      <c r="I20" s="1472"/>
      <c r="J20" s="1472"/>
      <c r="K20" s="1472"/>
      <c r="L20" s="1509">
        <f>PRODUCT(H20:J20)</f>
        <v>0</v>
      </c>
      <c r="M20" s="1471"/>
    </row>
    <row r="21" spans="1:13" s="1470" customFormat="1" ht="14.25">
      <c r="A21" s="1474"/>
      <c r="B21" s="1469"/>
      <c r="C21" s="1469"/>
      <c r="D21" s="1471"/>
      <c r="E21" s="1471"/>
      <c r="F21" s="1469"/>
      <c r="G21" s="1472"/>
      <c r="H21" s="1473"/>
      <c r="I21" s="1472"/>
      <c r="J21" s="1472"/>
      <c r="K21" s="1472"/>
      <c r="L21" s="1509">
        <f>PRODUCT(H21:J21)</f>
        <v>0</v>
      </c>
      <c r="M21" s="1471"/>
    </row>
    <row r="22" spans="1:13" s="1470" customFormat="1" ht="14.25">
      <c r="A22" s="1474"/>
      <c r="B22" s="1469"/>
      <c r="C22" s="1469"/>
      <c r="D22" s="1471"/>
      <c r="E22" s="1471"/>
      <c r="F22" s="1469"/>
      <c r="G22" s="1472"/>
      <c r="H22" s="1473"/>
      <c r="I22" s="1472"/>
      <c r="J22" s="1472"/>
      <c r="K22" s="1472"/>
      <c r="L22" s="1509">
        <f>PRODUCT(H22:J22)</f>
        <v>0</v>
      </c>
      <c r="M22" s="1471"/>
    </row>
    <row r="23" spans="1:13" s="1470" customFormat="1" ht="14.25">
      <c r="A23" s="1474"/>
      <c r="B23" s="1469"/>
      <c r="C23" s="1469"/>
      <c r="D23" s="1471"/>
      <c r="E23" s="1471"/>
      <c r="F23" s="1469"/>
      <c r="G23" s="1472"/>
      <c r="H23" s="1473"/>
      <c r="I23" s="1472"/>
      <c r="J23" s="1472"/>
      <c r="K23" s="1472"/>
      <c r="L23" s="1509">
        <f>PRODUCT(H23:J23)</f>
        <v>0</v>
      </c>
      <c r="M23" s="1471"/>
    </row>
    <row r="24" spans="1:13" s="1470" customFormat="1" ht="14.25">
      <c r="A24" s="1474"/>
      <c r="B24" s="1469" t="s">
        <v>80</v>
      </c>
      <c r="C24" s="1469"/>
      <c r="D24" s="1471" t="s">
        <v>1300</v>
      </c>
      <c r="E24" s="1471"/>
      <c r="F24" s="1469"/>
      <c r="G24" s="1472"/>
      <c r="H24" s="1473"/>
      <c r="I24" s="1472"/>
      <c r="J24" s="1472"/>
      <c r="K24" s="1472"/>
      <c r="L24" s="1509">
        <f>SUM(L25:L28)</f>
        <v>0</v>
      </c>
      <c r="M24" s="1471"/>
    </row>
    <row r="25" spans="1:13" s="26" customFormat="1">
      <c r="A25" s="636"/>
      <c r="B25" s="1469"/>
      <c r="C25" s="1468"/>
      <c r="D25" s="1464"/>
      <c r="E25" s="1464"/>
      <c r="F25" s="1468"/>
      <c r="G25" s="1466"/>
      <c r="H25" s="1467"/>
      <c r="I25" s="1466"/>
      <c r="J25" s="1466"/>
      <c r="K25" s="1466"/>
      <c r="L25" s="1509">
        <f>PRODUCT(H25:K25)</f>
        <v>0</v>
      </c>
      <c r="M25" s="1464"/>
    </row>
    <row r="26" spans="1:13" s="26" customFormat="1">
      <c r="A26" s="636"/>
      <c r="B26" s="1469"/>
      <c r="C26" s="1468"/>
      <c r="D26" s="1464"/>
      <c r="E26" s="1464"/>
      <c r="F26" s="1468"/>
      <c r="G26" s="1466"/>
      <c r="H26" s="1467"/>
      <c r="I26" s="1466"/>
      <c r="J26" s="1466"/>
      <c r="K26" s="1466"/>
      <c r="L26" s="1509">
        <f>PRODUCT(H26:K26)</f>
        <v>0</v>
      </c>
      <c r="M26" s="1464"/>
    </row>
    <row r="27" spans="1:13" s="26" customFormat="1">
      <c r="A27" s="636"/>
      <c r="B27" s="1469"/>
      <c r="C27" s="1468"/>
      <c r="D27" s="1464"/>
      <c r="E27" s="1464"/>
      <c r="F27" s="1468"/>
      <c r="G27" s="1466"/>
      <c r="H27" s="1467"/>
      <c r="I27" s="1466"/>
      <c r="J27" s="1466"/>
      <c r="K27" s="1466"/>
      <c r="L27" s="1509">
        <f>PRODUCT(H27:K27)</f>
        <v>0</v>
      </c>
      <c r="M27" s="1464"/>
    </row>
    <row r="28" spans="1:13" s="26" customFormat="1" ht="16.5" customHeight="1">
      <c r="A28" s="636"/>
      <c r="B28" s="1469"/>
      <c r="C28" s="1468"/>
      <c r="D28" s="1464"/>
      <c r="E28" s="1464"/>
      <c r="F28" s="1468"/>
      <c r="G28" s="1466"/>
      <c r="H28" s="1467"/>
      <c r="I28" s="1466"/>
      <c r="J28" s="1466"/>
      <c r="K28" s="1465"/>
      <c r="L28" s="1509">
        <f>PRODUCT(H28:K28)</f>
        <v>0</v>
      </c>
      <c r="M28" s="1464"/>
    </row>
    <row r="29" spans="1:13" s="1470" customFormat="1" ht="14.25">
      <c r="A29" s="1474"/>
      <c r="B29" s="1469" t="s">
        <v>769</v>
      </c>
      <c r="C29" s="1469"/>
      <c r="D29" s="1471" t="s">
        <v>1315</v>
      </c>
      <c r="E29" s="1471"/>
      <c r="F29" s="1469"/>
      <c r="G29" s="1472"/>
      <c r="H29" s="1473"/>
      <c r="I29" s="1472"/>
      <c r="J29" s="1472"/>
      <c r="K29" s="1472"/>
      <c r="L29" s="1509">
        <f>SUM(L30:L34)</f>
        <v>0</v>
      </c>
      <c r="M29" s="1471"/>
    </row>
    <row r="30" spans="1:13" s="26" customFormat="1" ht="16.5" customHeight="1">
      <c r="A30" s="636"/>
      <c r="B30" s="1469"/>
      <c r="C30" s="1468"/>
      <c r="D30" s="1464"/>
      <c r="E30" s="1464"/>
      <c r="F30" s="1468"/>
      <c r="G30" s="1466"/>
      <c r="H30" s="1467"/>
      <c r="I30" s="1466"/>
      <c r="J30" s="1466"/>
      <c r="K30" s="1465"/>
      <c r="L30" s="1509">
        <f>PRODUCT(H30:K30)</f>
        <v>0</v>
      </c>
      <c r="M30" s="1464"/>
    </row>
    <row r="31" spans="1:13" s="26" customFormat="1" ht="16.5" customHeight="1">
      <c r="A31" s="636"/>
      <c r="B31" s="1469"/>
      <c r="C31" s="1468"/>
      <c r="D31" s="1464"/>
      <c r="E31" s="1464"/>
      <c r="F31" s="1468"/>
      <c r="G31" s="1466"/>
      <c r="H31" s="1467"/>
      <c r="I31" s="1466"/>
      <c r="J31" s="1466"/>
      <c r="K31" s="1465"/>
      <c r="L31" s="1509">
        <f>PRODUCT(H31:K31)</f>
        <v>0</v>
      </c>
      <c r="M31" s="1464"/>
    </row>
    <row r="32" spans="1:13" s="26" customFormat="1" ht="16.5" customHeight="1">
      <c r="A32" s="636"/>
      <c r="B32" s="1469"/>
      <c r="C32" s="1468"/>
      <c r="D32" s="1464"/>
      <c r="E32" s="1464"/>
      <c r="F32" s="1468"/>
      <c r="G32" s="1466"/>
      <c r="H32" s="1467"/>
      <c r="I32" s="1466"/>
      <c r="J32" s="1466"/>
      <c r="K32" s="1465"/>
      <c r="L32" s="1509">
        <f>PRODUCT(H32:K32)</f>
        <v>0</v>
      </c>
      <c r="M32" s="1464"/>
    </row>
    <row r="33" spans="1:13" s="26" customFormat="1" ht="16.5" customHeight="1">
      <c r="A33" s="636"/>
      <c r="B33" s="1469"/>
      <c r="C33" s="1468"/>
      <c r="D33" s="1464"/>
      <c r="E33" s="1464"/>
      <c r="F33" s="1468"/>
      <c r="G33" s="1466"/>
      <c r="H33" s="1467"/>
      <c r="I33" s="1466"/>
      <c r="J33" s="1466"/>
      <c r="K33" s="1465"/>
      <c r="L33" s="1509">
        <f>PRODUCT(H33:K33)</f>
        <v>0</v>
      </c>
      <c r="M33" s="1464"/>
    </row>
    <row r="34" spans="1:13" s="26" customFormat="1" ht="16.5" customHeight="1">
      <c r="A34" s="636"/>
      <c r="B34" s="1469"/>
      <c r="C34" s="1468"/>
      <c r="D34" s="1464"/>
      <c r="E34" s="1464"/>
      <c r="F34" s="1468"/>
      <c r="G34" s="1466"/>
      <c r="H34" s="1467"/>
      <c r="I34" s="1466"/>
      <c r="J34" s="1466"/>
      <c r="K34" s="1465"/>
      <c r="L34" s="1509"/>
      <c r="M34" s="1464"/>
    </row>
    <row r="35" spans="1:13" s="1459" customFormat="1" ht="30" customHeight="1">
      <c r="A35" s="1463"/>
      <c r="B35" s="1462"/>
      <c r="C35" s="1462" t="s">
        <v>304</v>
      </c>
      <c r="D35" s="1462" t="s">
        <v>1316</v>
      </c>
      <c r="E35" s="1462"/>
      <c r="F35" s="1462"/>
      <c r="G35" s="1461"/>
      <c r="H35" s="1461"/>
      <c r="I35" s="1461"/>
      <c r="J35" s="1461"/>
      <c r="K35" s="1461"/>
      <c r="L35" s="1510">
        <f>L9+L14+L19+L24+L29</f>
        <v>0</v>
      </c>
      <c r="M35" s="1460"/>
    </row>
    <row r="44" spans="1:13" s="1457" customFormat="1">
      <c r="D44" s="1458"/>
      <c r="E44" s="1458"/>
      <c r="G44" s="1455"/>
      <c r="H44" s="1456"/>
      <c r="I44" s="1336"/>
      <c r="J44" s="350"/>
      <c r="K44" s="350"/>
      <c r="L44" s="1336"/>
      <c r="M44" s="1455"/>
    </row>
  </sheetData>
  <printOptions horizontalCentered="1"/>
  <pageMargins left="0.39370078740157483" right="0.27559055118110237" top="0.39370078740157483" bottom="0.47244094488188981" header="0.23622047244094491" footer="0.23622047244094491"/>
  <pageSetup scale="87" orientation="landscape" blackAndWhite="1" r:id="rId1"/>
  <headerFooter alignWithMargins="0"/>
  <ignoredErrors>
    <ignoredError sqref="L19 L14 L29" 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MDTGTH">
    <tabColor rgb="FFFF0000"/>
  </sheetPr>
  <dimension ref="A1:R14"/>
  <sheetViews>
    <sheetView zoomScale="85" zoomScaleNormal="85" workbookViewId="0">
      <selection activeCell="E16" sqref="E16:H16"/>
    </sheetView>
  </sheetViews>
  <sheetFormatPr defaultColWidth="9.140625" defaultRowHeight="15"/>
  <cols>
    <col min="1" max="1" width="6.42578125" style="64" customWidth="1"/>
    <col min="2" max="2" width="15.140625" style="64" customWidth="1"/>
    <col min="3" max="3" width="43.42578125" style="64" customWidth="1"/>
    <col min="4" max="4" width="12.85546875" style="64" customWidth="1"/>
    <col min="5" max="5" width="18.42578125" style="64" customWidth="1"/>
    <col min="6" max="6" width="9.42578125" style="64" customWidth="1"/>
    <col min="7" max="7" width="12.42578125" style="64" customWidth="1"/>
    <col min="8" max="8" width="14.42578125" style="64" customWidth="1"/>
    <col min="9" max="9" width="15.140625" style="64" customWidth="1"/>
    <col min="10" max="10" width="20.5703125" style="64" customWidth="1"/>
    <col min="11" max="11" width="17.5703125" style="64" customWidth="1"/>
    <col min="12" max="12" width="20.5703125" style="64" customWidth="1"/>
    <col min="13" max="13" width="46.42578125" style="64" customWidth="1"/>
    <col min="14" max="16384" width="9.140625" style="64"/>
  </cols>
  <sheetData>
    <row r="1" spans="1:18" s="67" customFormat="1" ht="22.5">
      <c r="A1" s="1395" t="s">
        <v>1206</v>
      </c>
      <c r="B1" s="1395"/>
      <c r="C1" s="1394"/>
      <c r="D1" s="1394"/>
      <c r="E1" s="1394"/>
      <c r="F1" s="1394"/>
      <c r="G1" s="1394"/>
      <c r="H1" s="1394"/>
      <c r="I1" s="1394"/>
      <c r="J1" s="1394"/>
      <c r="K1" s="1394"/>
      <c r="L1" s="1394"/>
      <c r="M1" s="1394"/>
    </row>
    <row r="2" spans="1:18" s="221" customFormat="1" ht="18.75">
      <c r="A2" s="8" t="str">
        <f>'Bia-TMDT'!C17&amp;'Bia-TMDT'!E17</f>
        <v>DỰ ÁN: ĐIỀU CHỈNH, BỔ SUNG, ĐƠN GIÁ XÂY DỰNG CỦA MỘT SỐ LOẠI CÔNG TRÌNH ĐỂ XÁC ĐỊNH GIÁ TRỊ BỒI
THƯỜNG ĐỐI VỚI NHÀ Ở, CÔNG TRÌNH PHẢI THÁO DỠ KHI NHÀ NƯỚC THU HỒI ĐẤT TRÊN ĐỊA BÀN TỈNH SƠN LA</v>
      </c>
      <c r="B2" s="8"/>
      <c r="C2" s="8"/>
      <c r="D2" s="8"/>
      <c r="E2" s="8"/>
      <c r="F2" s="8"/>
      <c r="G2" s="8"/>
      <c r="H2" s="8"/>
      <c r="I2" s="8"/>
      <c r="J2" s="8"/>
      <c r="K2" s="8"/>
      <c r="L2" s="8"/>
      <c r="M2" s="8"/>
    </row>
    <row r="3" spans="1:18" s="221" customFormat="1" ht="18.75">
      <c r="A3" s="8" t="str">
        <f>'Bia-TMDT'!C18&amp;'Bia-TMDT'!E18</f>
        <v>CÔNG TRÌNH: NHÀ 01 TẦNG, TƯỜNG CHỊU LỰC 110MM, MÁI LỢP FIBRÔXIMĂNG, KHÔNG CÓ KHU VỆ SINH KHÉP KÍN</v>
      </c>
      <c r="B3" s="8"/>
      <c r="C3" s="8"/>
      <c r="D3" s="8"/>
      <c r="E3" s="8"/>
      <c r="F3" s="8"/>
      <c r="G3" s="8"/>
      <c r="H3" s="8"/>
      <c r="I3" s="8"/>
      <c r="J3" s="8"/>
      <c r="K3" s="8"/>
      <c r="L3" s="8"/>
      <c r="M3" s="8"/>
    </row>
    <row r="4" spans="1:18" ht="16.5" thickBot="1">
      <c r="C4" s="17"/>
      <c r="D4" s="17"/>
      <c r="E4" s="17"/>
      <c r="F4" s="17"/>
      <c r="G4" s="17"/>
      <c r="H4" s="17"/>
      <c r="I4" s="17"/>
      <c r="J4" s="17"/>
      <c r="K4" s="17"/>
      <c r="L4" s="49"/>
    </row>
    <row r="5" spans="1:18" s="1393" customFormat="1" ht="16.5" thickTop="1">
      <c r="A5" s="2449" t="s">
        <v>196</v>
      </c>
      <c r="B5" s="2451" t="s">
        <v>120</v>
      </c>
      <c r="C5" s="2451" t="s">
        <v>1205</v>
      </c>
      <c r="D5" s="2451" t="s">
        <v>136</v>
      </c>
      <c r="E5" s="2451" t="s">
        <v>1204</v>
      </c>
      <c r="F5" s="2451" t="s">
        <v>122</v>
      </c>
      <c r="G5" s="2451" t="s">
        <v>1203</v>
      </c>
      <c r="H5" s="2451" t="s">
        <v>1202</v>
      </c>
      <c r="I5" s="2451" t="s">
        <v>1201</v>
      </c>
      <c r="J5" s="2451" t="s">
        <v>1200</v>
      </c>
      <c r="K5" s="2451"/>
      <c r="L5" s="2451"/>
      <c r="M5" s="2447" t="s">
        <v>1199</v>
      </c>
    </row>
    <row r="6" spans="1:18" ht="18.75">
      <c r="A6" s="2450"/>
      <c r="B6" s="2452"/>
      <c r="C6" s="2452"/>
      <c r="D6" s="2452"/>
      <c r="E6" s="2452"/>
      <c r="F6" s="2452"/>
      <c r="G6" s="2452"/>
      <c r="H6" s="2452"/>
      <c r="I6" s="2452"/>
      <c r="J6" s="1392" t="s">
        <v>1198</v>
      </c>
      <c r="K6" s="1392" t="s">
        <v>46</v>
      </c>
      <c r="L6" s="1392" t="s">
        <v>1197</v>
      </c>
      <c r="M6" s="2448"/>
      <c r="N6" s="221"/>
      <c r="O6" s="221"/>
      <c r="P6" s="221"/>
      <c r="Q6" s="221"/>
      <c r="R6" s="221"/>
    </row>
    <row r="7" spans="1:18" ht="18.75">
      <c r="A7" s="35"/>
      <c r="B7" s="1097"/>
      <c r="C7" s="1391"/>
      <c r="D7" s="1390"/>
      <c r="E7" s="131"/>
      <c r="F7" s="131"/>
      <c r="G7" s="1389"/>
      <c r="H7" s="1389"/>
      <c r="I7" s="1389"/>
      <c r="J7" s="131"/>
      <c r="K7" s="131"/>
      <c r="L7" s="131"/>
      <c r="M7" s="131"/>
      <c r="N7" s="221"/>
      <c r="O7" s="221"/>
      <c r="P7" s="221"/>
      <c r="Q7" s="221"/>
      <c r="R7" s="221"/>
    </row>
    <row r="8" spans="1:18" ht="18.75">
      <c r="A8" s="35"/>
      <c r="B8" s="35"/>
      <c r="C8" s="999"/>
      <c r="D8" s="1390"/>
      <c r="E8" s="131"/>
      <c r="F8" s="131"/>
      <c r="G8" s="1389"/>
      <c r="H8" s="1389"/>
      <c r="I8" s="1389"/>
      <c r="J8" s="131"/>
      <c r="K8" s="131"/>
      <c r="L8" s="131"/>
      <c r="M8" s="131"/>
      <c r="N8" s="221"/>
      <c r="O8" s="221"/>
      <c r="P8" s="221"/>
      <c r="Q8" s="221"/>
      <c r="R8" s="221"/>
    </row>
    <row r="9" spans="1:18" ht="18.75">
      <c r="A9" s="35"/>
      <c r="B9" s="35"/>
      <c r="C9" s="991"/>
      <c r="D9" s="1390"/>
      <c r="E9" s="131"/>
      <c r="F9" s="131"/>
      <c r="G9" s="1389"/>
      <c r="H9" s="1389"/>
      <c r="I9" s="1389"/>
      <c r="J9" s="131"/>
      <c r="K9" s="131"/>
      <c r="L9" s="131"/>
      <c r="M9" s="131"/>
      <c r="N9" s="221"/>
      <c r="O9" s="221"/>
      <c r="P9" s="221"/>
      <c r="Q9" s="221"/>
      <c r="R9" s="221"/>
    </row>
    <row r="10" spans="1:18" ht="18.75">
      <c r="A10" s="35"/>
      <c r="B10" s="35"/>
      <c r="C10" s="991"/>
      <c r="D10" s="1390"/>
      <c r="E10" s="131"/>
      <c r="F10" s="131"/>
      <c r="G10" s="1389"/>
      <c r="H10" s="1389"/>
      <c r="I10" s="1389"/>
      <c r="J10" s="131"/>
      <c r="K10" s="131"/>
      <c r="L10" s="131"/>
      <c r="M10" s="131"/>
      <c r="N10" s="221"/>
      <c r="O10" s="221"/>
      <c r="P10" s="221"/>
      <c r="Q10" s="221"/>
      <c r="R10" s="221"/>
    </row>
    <row r="11" spans="1:18" ht="18.75">
      <c r="A11" s="35"/>
      <c r="B11" s="35"/>
      <c r="C11" s="991"/>
      <c r="D11" s="1390"/>
      <c r="E11" s="131"/>
      <c r="F11" s="131"/>
      <c r="G11" s="1389"/>
      <c r="H11" s="1389"/>
      <c r="I11" s="1389"/>
      <c r="J11" s="131"/>
      <c r="K11" s="131"/>
      <c r="L11" s="131"/>
      <c r="M11" s="131"/>
      <c r="N11" s="221"/>
      <c r="O11" s="221"/>
      <c r="P11" s="221"/>
      <c r="Q11" s="221"/>
      <c r="R11" s="221"/>
    </row>
    <row r="12" spans="1:18" ht="18.75">
      <c r="A12" s="35"/>
      <c r="B12" s="35"/>
      <c r="C12" s="991"/>
      <c r="D12" s="1390"/>
      <c r="E12" s="131"/>
      <c r="F12" s="131"/>
      <c r="G12" s="1389"/>
      <c r="H12" s="1389"/>
      <c r="I12" s="1389"/>
      <c r="J12" s="131"/>
      <c r="K12" s="131"/>
      <c r="L12" s="131"/>
      <c r="M12" s="131"/>
      <c r="N12" s="221"/>
      <c r="O12" s="221"/>
      <c r="P12" s="221"/>
      <c r="Q12" s="221"/>
      <c r="R12" s="221"/>
    </row>
    <row r="13" spans="1:18" ht="18.75">
      <c r="A13" s="35"/>
      <c r="B13" s="35"/>
      <c r="C13" s="991"/>
      <c r="D13" s="1390"/>
      <c r="E13" s="131"/>
      <c r="F13" s="131"/>
      <c r="G13" s="1389"/>
      <c r="H13" s="1389"/>
      <c r="I13" s="1389"/>
      <c r="J13" s="131"/>
      <c r="K13" s="131"/>
      <c r="L13" s="131"/>
      <c r="M13" s="131"/>
      <c r="N13" s="221"/>
      <c r="O13" s="221"/>
      <c r="P13" s="221"/>
      <c r="Q13" s="221"/>
      <c r="R13" s="221"/>
    </row>
    <row r="14" spans="1:18" s="1384" customFormat="1" ht="18.75">
      <c r="A14" s="1388"/>
      <c r="B14" s="1388"/>
      <c r="C14" s="1388" t="s">
        <v>118</v>
      </c>
      <c r="D14" s="1387"/>
      <c r="E14" s="1386"/>
      <c r="F14" s="1386"/>
      <c r="G14" s="1386"/>
      <c r="H14" s="1386"/>
      <c r="I14" s="1386"/>
      <c r="J14" s="1386">
        <f>L14/1.1</f>
        <v>0</v>
      </c>
      <c r="K14" s="1386">
        <f>L14-J14</f>
        <v>0</v>
      </c>
      <c r="L14" s="1386">
        <f>SUM(L6:L13)</f>
        <v>0</v>
      </c>
      <c r="M14" s="1386"/>
      <c r="N14" s="1385"/>
      <c r="O14" s="1385"/>
      <c r="P14" s="1385"/>
      <c r="Q14" s="1385"/>
      <c r="R14" s="1385"/>
    </row>
  </sheetData>
  <mergeCells count="11">
    <mergeCell ref="M5:M6"/>
    <mergeCell ref="A5:A6"/>
    <mergeCell ref="B5:B6"/>
    <mergeCell ref="C5:C6"/>
    <mergeCell ref="D5:D6"/>
    <mergeCell ref="E5:E6"/>
    <mergeCell ref="F5:F6"/>
    <mergeCell ref="G5:G6"/>
    <mergeCell ref="H5:H6"/>
    <mergeCell ref="I5:I6"/>
    <mergeCell ref="J5:L5"/>
  </mergeCells>
  <hyperlinks>
    <hyperlink ref="E5" r:id="rId1" location="phan-3-gia-xay-dung-tong-hop-bo-phan-ket-cau-cong-trinh" display="GIÁ TỔNG HỢP (S0) (đ/m2)"/>
    <hyperlink ref="D5:D6" r:id="rId2" location="_4-do-boc-theo-nhom-cong-tac-xay-dung-don-vi-ket-cau-hoac-bo-phan-cong-trinh" display="KHỐI LƯỢNG"/>
  </hyperlinks>
  <pageMargins left="0.59055118110236227" right="0.19685039370078741" top="0.39370078740157483" bottom="0.39370078740157483" header="0.19685039370078741" footer="0.19685039370078741"/>
  <pageSetup paperSize="9" orientation="landscape"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MDTSVDT">
    <tabColor rgb="FFFF0000"/>
    <pageSetUpPr fitToPage="1"/>
  </sheetPr>
  <dimension ref="A1:CA214"/>
  <sheetViews>
    <sheetView topLeftCell="B1" zoomScale="85" zoomScaleNormal="85" workbookViewId="0">
      <selection activeCell="D13" sqref="D13"/>
    </sheetView>
  </sheetViews>
  <sheetFormatPr defaultColWidth="8.85546875" defaultRowHeight="18.75"/>
  <cols>
    <col min="1" max="1" width="20.140625" style="340" hidden="1" customWidth="1"/>
    <col min="2" max="2" width="6.5703125" style="1396" customWidth="1"/>
    <col min="3" max="3" width="10.5703125" style="1396" customWidth="1"/>
    <col min="4" max="4" width="50.5703125" style="1396" customWidth="1"/>
    <col min="5" max="5" width="26.7109375" style="1396" customWidth="1"/>
    <col min="6" max="6" width="13.140625" style="1399" customWidth="1"/>
    <col min="7" max="7" width="22.5703125" style="1398" customWidth="1"/>
    <col min="8" max="8" width="8.5703125" style="1397" customWidth="1"/>
    <col min="9" max="11" width="20.5703125" style="1396" customWidth="1"/>
    <col min="12" max="12" width="8.5703125" style="1396" customWidth="1"/>
    <col min="13" max="13" width="50.5703125" style="1396" customWidth="1"/>
    <col min="14" max="14" width="4.42578125" style="1337" customWidth="1"/>
    <col min="15" max="15" width="33.5703125" style="1337" customWidth="1"/>
    <col min="16" max="16" width="29.85546875" style="1337" customWidth="1"/>
    <col min="17" max="27" width="8.85546875" style="1337"/>
  </cols>
  <sheetData>
    <row r="1" spans="1:79" ht="24" thickTop="1">
      <c r="B1" s="1437" t="s">
        <v>1275</v>
      </c>
      <c r="C1" s="1434"/>
      <c r="D1" s="1434"/>
      <c r="E1" s="1434"/>
      <c r="F1" s="1436"/>
      <c r="G1" s="1435"/>
      <c r="H1" s="1434"/>
      <c r="I1" s="1434"/>
      <c r="J1" s="1434"/>
      <c r="K1" s="1434"/>
      <c r="L1" s="1434"/>
      <c r="M1" s="1433"/>
    </row>
    <row r="2" spans="1:79">
      <c r="B2" s="1432" t="str">
        <f>'Bia-TMDT'!C17&amp;'Bia-TMDT'!E17</f>
        <v>DỰ ÁN: ĐIỀU CHỈNH, BỔ SUNG, ĐƠN GIÁ XÂY DỰNG CỦA MỘT SỐ LOẠI CÔNG TRÌNH ĐỂ XÁC ĐỊNH GIÁ TRỊ BỒI
THƯỜNG ĐỐI VỚI NHÀ Ở, CÔNG TRÌNH PHẢI THÁO DỠ KHI NHÀ NƯỚC THU HỒI ĐẤT TRÊN ĐỊA BÀN TỈNH SƠN LA</v>
      </c>
      <c r="C2" s="1431"/>
      <c r="D2" s="1428"/>
      <c r="E2" s="1428"/>
      <c r="F2" s="1430"/>
      <c r="G2" s="1429"/>
      <c r="H2" s="1428"/>
      <c r="I2" s="1428"/>
      <c r="J2" s="1428"/>
      <c r="K2" s="1428"/>
      <c r="L2" s="1428"/>
      <c r="M2" s="1427"/>
      <c r="W2"/>
      <c r="X2"/>
      <c r="Y2"/>
      <c r="Z2"/>
      <c r="AB2" s="1337"/>
      <c r="AC2" s="1337"/>
      <c r="AD2" s="1337"/>
      <c r="AE2" s="1337"/>
      <c r="AF2" s="1337"/>
      <c r="AG2" s="1337"/>
      <c r="AH2" s="1337"/>
      <c r="AI2" s="1337"/>
      <c r="AJ2" s="1337"/>
      <c r="AO2" s="1337"/>
      <c r="AP2" s="1337"/>
      <c r="AQ2" s="1337"/>
      <c r="AR2" s="1337"/>
      <c r="AS2" s="1337"/>
      <c r="AT2" s="1337"/>
      <c r="AU2" s="1337"/>
      <c r="AV2" s="1337"/>
      <c r="AW2" s="1337"/>
      <c r="AX2" s="1337"/>
      <c r="BC2" s="1337"/>
      <c r="BD2" s="1337"/>
      <c r="BE2" s="1337"/>
      <c r="BF2" s="1337"/>
      <c r="BG2" s="1337"/>
      <c r="BH2" s="1337"/>
      <c r="BI2" s="1337"/>
      <c r="BJ2" s="1337"/>
      <c r="BK2" s="1337"/>
      <c r="BL2" s="1337"/>
      <c r="BQ2" s="1337"/>
      <c r="BR2" s="1337"/>
      <c r="BS2" s="1337"/>
      <c r="BT2" s="1337"/>
      <c r="BU2" s="1337"/>
      <c r="BV2" s="1337"/>
      <c r="BW2" s="1337"/>
      <c r="BX2" s="1337"/>
      <c r="BY2" s="1337"/>
      <c r="BZ2" s="1337"/>
    </row>
    <row r="3" spans="1:79" ht="24.75" customHeight="1" thickBot="1">
      <c r="B3" s="1426" t="str">
        <f>'Bia-TMDT'!C18&amp;'Bia-TMDT'!E18</f>
        <v>CÔNG TRÌNH: NHÀ 01 TẦNG, TƯỜNG CHỊU LỰC 110MM, MÁI LỢP FIBRÔXIMĂNG, KHÔNG CÓ KHU VỆ SINH KHÉP KÍN</v>
      </c>
      <c r="C3" s="1425"/>
      <c r="D3" s="1422"/>
      <c r="E3" s="1422"/>
      <c r="F3" s="1424"/>
      <c r="G3" s="1423"/>
      <c r="H3" s="1422"/>
      <c r="I3" s="1422"/>
      <c r="J3" s="1422"/>
      <c r="K3" s="1422"/>
      <c r="L3" s="1422"/>
      <c r="M3" s="1421"/>
      <c r="W3"/>
      <c r="X3"/>
      <c r="Y3"/>
      <c r="Z3"/>
      <c r="AB3" s="1337"/>
      <c r="AC3" s="1337"/>
      <c r="AD3" s="1337"/>
      <c r="AE3" s="1337"/>
      <c r="AF3" s="1337"/>
      <c r="AG3" s="1337"/>
      <c r="AH3" s="1337"/>
      <c r="AI3" s="1337"/>
      <c r="AJ3" s="1337"/>
      <c r="AO3" s="1337"/>
      <c r="AP3" s="1337"/>
      <c r="AQ3" s="1337"/>
      <c r="AR3" s="1337"/>
      <c r="AS3" s="1337"/>
      <c r="AT3" s="1337"/>
      <c r="AU3" s="1337"/>
      <c r="AV3" s="1337"/>
      <c r="AW3" s="1337"/>
      <c r="AX3" s="1337"/>
      <c r="BC3" s="1337"/>
      <c r="BD3" s="1337"/>
      <c r="BE3" s="1337"/>
      <c r="BF3" s="1337"/>
      <c r="BG3" s="1337"/>
      <c r="BH3" s="1337"/>
      <c r="BI3" s="1337"/>
      <c r="BJ3" s="1337"/>
      <c r="BK3" s="1337"/>
      <c r="BL3" s="1337"/>
      <c r="BQ3" s="1337"/>
      <c r="BR3" s="1337"/>
      <c r="BS3" s="1337"/>
      <c r="BT3" s="1337"/>
      <c r="BU3" s="1337"/>
      <c r="BV3" s="1337"/>
      <c r="BW3" s="1337"/>
      <c r="BX3" s="1337"/>
      <c r="BY3" s="1337"/>
      <c r="BZ3" s="1337"/>
    </row>
    <row r="4" spans="1:79" s="1415" customFormat="1" ht="20.25" thickTop="1" thickBot="1">
      <c r="A4" s="340"/>
      <c r="B4" s="1420"/>
      <c r="C4" s="1410"/>
      <c r="D4" s="1410"/>
      <c r="E4" s="1410"/>
      <c r="F4" s="1419"/>
      <c r="G4" s="1418"/>
      <c r="H4" s="1417"/>
      <c r="I4" s="1410"/>
      <c r="J4" s="1410"/>
      <c r="K4" s="1410"/>
      <c r="L4" s="1410"/>
      <c r="M4" s="1416"/>
      <c r="N4" s="1337"/>
      <c r="O4" s="1337"/>
      <c r="P4" s="1337"/>
      <c r="Q4" s="1337"/>
      <c r="R4" s="1337"/>
      <c r="S4" s="1337"/>
      <c r="T4" s="1337"/>
      <c r="U4" s="1337"/>
      <c r="V4" s="1337"/>
      <c r="W4"/>
      <c r="X4"/>
      <c r="Y4"/>
      <c r="Z4"/>
      <c r="AA4" s="1337"/>
      <c r="AB4" s="1337"/>
      <c r="AC4" s="1337"/>
      <c r="AD4" s="1337"/>
      <c r="AE4" s="1337"/>
      <c r="AF4" s="1337"/>
      <c r="AG4" s="1337"/>
      <c r="AH4" s="1337"/>
      <c r="AI4" s="1337"/>
      <c r="AJ4" s="1337"/>
      <c r="AK4"/>
      <c r="AL4"/>
      <c r="AM4"/>
      <c r="AN4"/>
      <c r="AO4" s="1337"/>
      <c r="AP4" s="1337"/>
      <c r="AQ4" s="1337"/>
      <c r="AR4" s="1337"/>
      <c r="AS4" s="1337"/>
      <c r="AT4" s="1337"/>
      <c r="AU4" s="1337"/>
      <c r="AV4" s="1337"/>
      <c r="AW4" s="1337"/>
      <c r="AX4" s="1337"/>
      <c r="AY4"/>
      <c r="AZ4"/>
      <c r="BA4"/>
      <c r="BB4"/>
      <c r="BC4" s="1337"/>
      <c r="BD4" s="1337"/>
      <c r="BE4" s="1337"/>
      <c r="BF4" s="1337"/>
      <c r="BG4" s="1337"/>
      <c r="BH4" s="1337"/>
      <c r="BI4" s="1337"/>
      <c r="BJ4" s="1337"/>
      <c r="BK4" s="1337"/>
      <c r="BL4" s="1337"/>
      <c r="BM4"/>
      <c r="BN4"/>
      <c r="BO4"/>
      <c r="BP4"/>
      <c r="BQ4" s="1337"/>
      <c r="BR4" s="1337"/>
      <c r="BS4" s="1337"/>
      <c r="BT4" s="1337"/>
      <c r="BU4" s="1337"/>
      <c r="BV4" s="1337"/>
      <c r="BW4" s="1337"/>
      <c r="BX4" s="1337"/>
      <c r="BY4" s="1337"/>
      <c r="BZ4" s="1337"/>
      <c r="CA4"/>
    </row>
    <row r="5" spans="1:79" ht="19.5" thickTop="1">
      <c r="B5" s="2453" t="s">
        <v>196</v>
      </c>
      <c r="C5" s="2451" t="s">
        <v>120</v>
      </c>
      <c r="D5" s="2451" t="s">
        <v>92</v>
      </c>
      <c r="E5" s="2451" t="s">
        <v>1481</v>
      </c>
      <c r="F5" s="2455" t="s">
        <v>136</v>
      </c>
      <c r="G5" s="2455" t="s">
        <v>1270</v>
      </c>
      <c r="H5" s="2451" t="s">
        <v>122</v>
      </c>
      <c r="I5" s="2451" t="s">
        <v>1200</v>
      </c>
      <c r="J5" s="2451"/>
      <c r="K5" s="2451"/>
      <c r="L5" s="2451" t="s">
        <v>94</v>
      </c>
      <c r="M5" s="2447" t="s">
        <v>1199</v>
      </c>
      <c r="X5"/>
      <c r="Y5"/>
      <c r="Z5"/>
      <c r="AA5"/>
      <c r="AB5" s="1337"/>
      <c r="AC5" s="1337"/>
      <c r="AD5" s="1337"/>
      <c r="AE5" s="1337"/>
      <c r="AF5" s="1337"/>
      <c r="AG5" s="1337"/>
      <c r="AH5" s="1337"/>
      <c r="AI5" s="1337"/>
      <c r="AJ5" s="1337"/>
      <c r="AK5" s="1337"/>
      <c r="AP5" s="1337"/>
      <c r="AQ5" s="1337"/>
      <c r="AR5" s="1337"/>
      <c r="AS5" s="1337"/>
      <c r="AT5" s="1337"/>
      <c r="AU5" s="1337"/>
      <c r="AV5" s="1337"/>
      <c r="AW5" s="1337"/>
      <c r="AX5" s="1337"/>
      <c r="AY5" s="1337"/>
      <c r="BD5" s="1337"/>
      <c r="BE5" s="1337"/>
      <c r="BF5" s="1337"/>
      <c r="BG5" s="1337"/>
      <c r="BH5" s="1337"/>
      <c r="BI5" s="1337"/>
      <c r="BJ5" s="1337"/>
      <c r="BK5" s="1337"/>
      <c r="BL5" s="1337"/>
      <c r="BM5" s="1337"/>
      <c r="BR5" s="1337"/>
      <c r="BS5" s="1337"/>
      <c r="BT5" s="1337"/>
      <c r="BU5" s="1337"/>
      <c r="BV5" s="1337"/>
      <c r="BW5" s="1337"/>
      <c r="BX5" s="1337"/>
      <c r="BY5" s="1337"/>
      <c r="BZ5" s="1337"/>
      <c r="CA5" s="1337"/>
    </row>
    <row r="6" spans="1:79">
      <c r="B6" s="2454"/>
      <c r="C6" s="2452"/>
      <c r="D6" s="2452"/>
      <c r="E6" s="2452"/>
      <c r="F6" s="2456"/>
      <c r="G6" s="2456"/>
      <c r="H6" s="2452"/>
      <c r="I6" s="1392" t="s">
        <v>1198</v>
      </c>
      <c r="J6" s="1392" t="s">
        <v>46</v>
      </c>
      <c r="K6" s="1392" t="s">
        <v>1197</v>
      </c>
      <c r="L6" s="2452"/>
      <c r="M6" s="2448"/>
      <c r="X6"/>
      <c r="Y6"/>
      <c r="Z6"/>
      <c r="AA6"/>
      <c r="AB6" s="1337"/>
      <c r="AC6" s="1337"/>
      <c r="AD6" s="1337"/>
      <c r="AE6" s="1337"/>
      <c r="AF6" s="1337"/>
      <c r="AG6" s="1337"/>
      <c r="AH6" s="1337"/>
      <c r="AI6" s="1337"/>
      <c r="AJ6" s="1337"/>
      <c r="AK6" s="1337"/>
      <c r="AP6" s="1337"/>
      <c r="AQ6" s="1337"/>
      <c r="AR6" s="1337"/>
      <c r="AS6" s="1337"/>
      <c r="AT6" s="1337"/>
      <c r="AU6" s="1337"/>
      <c r="AV6" s="1337"/>
      <c r="AW6" s="1337"/>
      <c r="AX6" s="1337"/>
      <c r="AY6" s="1337"/>
      <c r="BD6" s="1337"/>
      <c r="BE6" s="1337"/>
      <c r="BF6" s="1337"/>
      <c r="BG6" s="1337"/>
      <c r="BH6" s="1337"/>
      <c r="BI6" s="1337"/>
      <c r="BJ6" s="1337"/>
      <c r="BK6" s="1337"/>
      <c r="BL6" s="1337"/>
      <c r="BM6" s="1337"/>
      <c r="BR6" s="1337"/>
      <c r="BS6" s="1337"/>
      <c r="BT6" s="1337"/>
      <c r="BU6" s="1337"/>
      <c r="BV6" s="1337"/>
      <c r="BW6" s="1337"/>
      <c r="BX6" s="1337"/>
      <c r="BY6" s="1337"/>
      <c r="BZ6" s="1337"/>
      <c r="CA6" s="1337"/>
    </row>
    <row r="7" spans="1:79">
      <c r="B7" s="1620" t="s">
        <v>273</v>
      </c>
      <c r="C7" s="911" t="s">
        <v>402</v>
      </c>
      <c r="D7" s="911" t="s">
        <v>276</v>
      </c>
      <c r="E7" s="1621" t="s">
        <v>277</v>
      </c>
      <c r="F7" s="1621" t="s">
        <v>278</v>
      </c>
      <c r="G7" s="911" t="s">
        <v>279</v>
      </c>
      <c r="H7" s="911" t="s">
        <v>280</v>
      </c>
      <c r="I7" s="911" t="s">
        <v>282</v>
      </c>
      <c r="J7" s="911" t="s">
        <v>283</v>
      </c>
      <c r="K7" s="1622" t="s">
        <v>288</v>
      </c>
      <c r="L7" s="911" t="s">
        <v>292</v>
      </c>
      <c r="M7" s="1622" t="s">
        <v>293</v>
      </c>
      <c r="AB7" s="1337"/>
    </row>
    <row r="8" spans="1:79" ht="30" customHeight="1">
      <c r="B8" s="1623" t="s">
        <v>73</v>
      </c>
      <c r="C8" s="1624"/>
      <c r="D8" s="1625" t="s">
        <v>1418</v>
      </c>
      <c r="E8" s="1626" t="s">
        <v>1215</v>
      </c>
      <c r="F8" s="1627"/>
      <c r="G8" s="1628"/>
      <c r="H8" s="1629"/>
      <c r="I8" s="1862">
        <f>'DT PA boi thuong'!L35</f>
        <v>0</v>
      </c>
      <c r="J8" s="1630"/>
      <c r="K8" s="1631">
        <f>I8+J8</f>
        <v>0</v>
      </c>
      <c r="L8" s="1632" t="s">
        <v>1468</v>
      </c>
      <c r="M8" s="1633" t="s">
        <v>1269</v>
      </c>
      <c r="N8" s="1412" t="s">
        <v>1227</v>
      </c>
      <c r="AB8" s="1337"/>
    </row>
    <row r="9" spans="1:79" ht="30" customHeight="1">
      <c r="B9" s="1634" t="s">
        <v>75</v>
      </c>
      <c r="C9" s="1635"/>
      <c r="D9" s="1636" t="s">
        <v>1419</v>
      </c>
      <c r="E9" s="1637"/>
      <c r="F9" s="1638"/>
      <c r="G9" s="1639"/>
      <c r="H9" s="1640"/>
      <c r="I9" s="1641">
        <f>I10+I16+I19</f>
        <v>0</v>
      </c>
      <c r="J9" s="1641">
        <f t="shared" ref="J9:K9" si="0">J10+J16+J19</f>
        <v>0</v>
      </c>
      <c r="K9" s="1641">
        <f t="shared" si="0"/>
        <v>0</v>
      </c>
      <c r="L9" s="1642" t="s">
        <v>521</v>
      </c>
      <c r="M9" s="1643" t="s">
        <v>1268</v>
      </c>
      <c r="N9" s="1412" t="s">
        <v>1227</v>
      </c>
      <c r="AB9" s="1337"/>
    </row>
    <row r="10" spans="1:79" s="1581" customFormat="1" ht="31.5">
      <c r="A10" s="1900"/>
      <c r="B10" s="1827" t="s">
        <v>97</v>
      </c>
      <c r="C10" s="1828"/>
      <c r="D10" s="1829" t="s">
        <v>1267</v>
      </c>
      <c r="E10" s="1655" t="s">
        <v>1262</v>
      </c>
      <c r="F10" s="1830"/>
      <c r="G10" s="1831"/>
      <c r="H10" s="1828"/>
      <c r="I10" s="1832">
        <f>SUM(I11:I15)</f>
        <v>0</v>
      </c>
      <c r="J10" s="1832">
        <f>K10-I10</f>
        <v>0</v>
      </c>
      <c r="K10" s="1831">
        <f>I10*1.1</f>
        <v>0</v>
      </c>
      <c r="L10" s="1644" t="s">
        <v>1420</v>
      </c>
      <c r="M10" s="1645"/>
      <c r="N10" s="1578"/>
      <c r="O10" s="1578"/>
      <c r="P10" s="1578"/>
      <c r="Q10" s="1578"/>
      <c r="R10" s="1578"/>
      <c r="S10" s="1578"/>
      <c r="T10" s="1578"/>
      <c r="U10" s="1578"/>
      <c r="V10" s="1578"/>
      <c r="W10" s="1578"/>
      <c r="X10" s="1578"/>
      <c r="Y10" s="1578"/>
      <c r="Z10" s="1578"/>
      <c r="AA10" s="1578"/>
      <c r="AB10" s="1578"/>
    </row>
    <row r="11" spans="1:79" ht="18.75" customHeight="1">
      <c r="B11" s="1646"/>
      <c r="C11" s="1647"/>
      <c r="D11" s="1619"/>
      <c r="E11" s="1648"/>
      <c r="F11" s="1649"/>
      <c r="G11" s="1650"/>
      <c r="H11" s="1651"/>
      <c r="I11" s="1652"/>
      <c r="J11" s="1652"/>
      <c r="K11" s="1650"/>
      <c r="L11" s="1651"/>
      <c r="M11" s="1653"/>
      <c r="N11" s="1412"/>
      <c r="AB11" s="1337"/>
    </row>
    <row r="12" spans="1:79" ht="18.75" customHeight="1">
      <c r="B12" s="1646"/>
      <c r="C12" s="1647"/>
      <c r="D12" s="1654"/>
      <c r="E12" s="1648"/>
      <c r="F12" s="1649"/>
      <c r="G12" s="1650"/>
      <c r="H12" s="1651"/>
      <c r="I12" s="1652"/>
      <c r="J12" s="1652"/>
      <c r="K12" s="1650"/>
      <c r="L12" s="1651"/>
      <c r="M12" s="1653"/>
      <c r="N12" s="1412"/>
      <c r="AB12" s="1337"/>
    </row>
    <row r="13" spans="1:79" ht="18.75" customHeight="1">
      <c r="B13" s="1646"/>
      <c r="C13" s="1647"/>
      <c r="D13" s="1654"/>
      <c r="E13" s="1648"/>
      <c r="F13" s="1649"/>
      <c r="G13" s="1650"/>
      <c r="H13" s="1651"/>
      <c r="I13" s="1652"/>
      <c r="J13" s="1652"/>
      <c r="K13" s="1650"/>
      <c r="L13" s="1651"/>
      <c r="M13" s="1653"/>
      <c r="N13" s="1412"/>
      <c r="AB13" s="1337"/>
    </row>
    <row r="14" spans="1:79" ht="18.75" customHeight="1">
      <c r="B14" s="1646"/>
      <c r="C14" s="1651"/>
      <c r="D14" s="1618"/>
      <c r="E14" s="1648"/>
      <c r="F14" s="1649"/>
      <c r="G14" s="1650"/>
      <c r="H14" s="1651"/>
      <c r="I14" s="1652"/>
      <c r="J14" s="1652"/>
      <c r="K14" s="1650"/>
      <c r="L14" s="1651"/>
      <c r="M14" s="1653"/>
      <c r="N14" s="1412"/>
      <c r="AB14" s="1337"/>
    </row>
    <row r="15" spans="1:79" ht="18.75" customHeight="1">
      <c r="B15" s="1646"/>
      <c r="C15" s="1651"/>
      <c r="D15" s="1618"/>
      <c r="E15" s="1655"/>
      <c r="F15" s="1649"/>
      <c r="G15" s="1650"/>
      <c r="H15" s="1651"/>
      <c r="I15" s="1652"/>
      <c r="J15" s="1652"/>
      <c r="K15" s="1650"/>
      <c r="L15" s="1651"/>
      <c r="M15" s="1653"/>
      <c r="N15" s="1412"/>
      <c r="AB15" s="1337"/>
    </row>
    <row r="16" spans="1:79" s="1581" customFormat="1" ht="31.5">
      <c r="A16" s="1900"/>
      <c r="B16" s="1827" t="s">
        <v>195</v>
      </c>
      <c r="C16" s="1828"/>
      <c r="D16" s="1829" t="s">
        <v>1266</v>
      </c>
      <c r="E16" s="1833"/>
      <c r="F16" s="1830"/>
      <c r="G16" s="1831"/>
      <c r="H16" s="1828"/>
      <c r="I16" s="1832">
        <f>PRODUCT(E17,E18)</f>
        <v>0</v>
      </c>
      <c r="J16" s="1832">
        <f>K16-I16</f>
        <v>0</v>
      </c>
      <c r="K16" s="1831">
        <f>I16*1.1</f>
        <v>0</v>
      </c>
      <c r="L16" s="1644" t="s">
        <v>1421</v>
      </c>
      <c r="M16" s="1645"/>
      <c r="N16" s="1578"/>
      <c r="O16" s="1578"/>
      <c r="P16" s="1578"/>
      <c r="Q16" s="1578"/>
      <c r="R16" s="1578"/>
      <c r="S16" s="1578"/>
      <c r="T16" s="1578"/>
      <c r="U16" s="1578"/>
      <c r="V16" s="1578"/>
      <c r="W16" s="1578"/>
      <c r="X16" s="1578"/>
      <c r="Y16" s="1578"/>
      <c r="Z16" s="1578"/>
      <c r="AA16" s="1578"/>
      <c r="AB16" s="1578"/>
    </row>
    <row r="17" spans="1:28" s="1580" customFormat="1" ht="31.5">
      <c r="A17" s="340"/>
      <c r="B17" s="1646"/>
      <c r="C17" s="1651"/>
      <c r="D17" s="1657" t="s">
        <v>1267</v>
      </c>
      <c r="E17" s="1745">
        <f>I10</f>
        <v>0</v>
      </c>
      <c r="F17" s="1649"/>
      <c r="G17" s="1650"/>
      <c r="H17" s="1651"/>
      <c r="I17" s="1652"/>
      <c r="J17" s="1652"/>
      <c r="K17" s="1650"/>
      <c r="L17" s="1656"/>
      <c r="M17" s="1658"/>
      <c r="N17" s="1578"/>
      <c r="O17" s="1579"/>
      <c r="P17" s="1579"/>
      <c r="Q17" s="1579"/>
      <c r="R17" s="1579"/>
      <c r="S17" s="1579"/>
      <c r="T17" s="1579"/>
      <c r="U17" s="1579"/>
      <c r="V17" s="1579"/>
      <c r="W17" s="1579"/>
      <c r="X17" s="1579"/>
      <c r="Y17" s="1579"/>
      <c r="Z17" s="1579"/>
      <c r="AA17" s="1579"/>
      <c r="AB17" s="1579"/>
    </row>
    <row r="18" spans="1:28" s="1580" customFormat="1" ht="18.75" customHeight="1">
      <c r="A18" s="340"/>
      <c r="B18" s="1646"/>
      <c r="C18" s="1651"/>
      <c r="D18" s="1657" t="s">
        <v>1423</v>
      </c>
      <c r="E18" s="1797">
        <v>0.02</v>
      </c>
      <c r="F18" s="1649"/>
      <c r="G18" s="1650"/>
      <c r="H18" s="1651"/>
      <c r="I18" s="1652"/>
      <c r="J18" s="1652"/>
      <c r="K18" s="1650"/>
      <c r="L18" s="1656"/>
      <c r="M18" s="1658"/>
      <c r="N18" s="1578"/>
      <c r="O18" s="1579"/>
      <c r="P18" s="1579"/>
      <c r="Q18" s="1579"/>
      <c r="R18" s="1579"/>
      <c r="S18" s="1579"/>
      <c r="T18" s="1579"/>
      <c r="U18" s="1579"/>
      <c r="V18" s="1579"/>
      <c r="W18" s="1579"/>
      <c r="X18" s="1579"/>
      <c r="Y18" s="1579"/>
      <c r="Z18" s="1579"/>
      <c r="AA18" s="1579"/>
      <c r="AB18" s="1579"/>
    </row>
    <row r="19" spans="1:28" s="1581" customFormat="1" ht="63">
      <c r="A19" s="1901"/>
      <c r="B19" s="1834" t="s">
        <v>101</v>
      </c>
      <c r="C19" s="1835"/>
      <c r="D19" s="1836" t="s">
        <v>1265</v>
      </c>
      <c r="E19" s="1837"/>
      <c r="F19" s="1838"/>
      <c r="G19" s="1839"/>
      <c r="H19" s="1835"/>
      <c r="I19" s="1840"/>
      <c r="J19" s="1841">
        <f>K19-I19</f>
        <v>0</v>
      </c>
      <c r="K19" s="1839">
        <f>I19*1.1</f>
        <v>0</v>
      </c>
      <c r="L19" s="1659" t="s">
        <v>1422</v>
      </c>
      <c r="M19" s="1660"/>
      <c r="N19" s="1578"/>
      <c r="O19" s="1578"/>
      <c r="P19" s="1578"/>
      <c r="Q19" s="1578"/>
    </row>
    <row r="20" spans="1:28" ht="30" customHeight="1">
      <c r="A20"/>
      <c r="B20" s="1634" t="s">
        <v>77</v>
      </c>
      <c r="C20" s="1635"/>
      <c r="D20" s="1636" t="s">
        <v>1425</v>
      </c>
      <c r="E20" s="1842"/>
      <c r="F20" s="1678"/>
      <c r="G20" s="1679"/>
      <c r="H20" s="1680"/>
      <c r="I20" s="1641">
        <f>I21+I26</f>
        <v>0</v>
      </c>
      <c r="J20" s="1641">
        <f>J21+J26</f>
        <v>0</v>
      </c>
      <c r="K20" s="1641">
        <f>K21+K26</f>
        <v>0</v>
      </c>
      <c r="L20" s="1642" t="s">
        <v>522</v>
      </c>
      <c r="M20" s="1643" t="s">
        <v>1264</v>
      </c>
      <c r="N20" s="1412" t="s">
        <v>1227</v>
      </c>
      <c r="R20"/>
      <c r="S20"/>
      <c r="T20"/>
      <c r="U20"/>
      <c r="V20"/>
      <c r="W20"/>
      <c r="X20"/>
      <c r="Y20"/>
      <c r="Z20"/>
      <c r="AA20"/>
    </row>
    <row r="21" spans="1:28" s="1580" customFormat="1" ht="18.75" customHeight="1">
      <c r="A21"/>
      <c r="B21" s="1827" t="s">
        <v>97</v>
      </c>
      <c r="C21" s="1828"/>
      <c r="D21" s="1829" t="s">
        <v>1263</v>
      </c>
      <c r="E21" s="1655" t="s">
        <v>1262</v>
      </c>
      <c r="F21" s="1649"/>
      <c r="G21" s="1650"/>
      <c r="H21" s="1651"/>
      <c r="I21" s="1832">
        <f>SUM(I22:I25)</f>
        <v>0</v>
      </c>
      <c r="J21" s="1832">
        <f>SUM(J22:J25)</f>
        <v>0</v>
      </c>
      <c r="K21" s="1832">
        <f>SUM(K22:K25)</f>
        <v>0</v>
      </c>
      <c r="L21" s="1656" t="s">
        <v>1424</v>
      </c>
      <c r="M21" s="1658"/>
      <c r="N21" s="1578"/>
      <c r="O21" s="1579"/>
      <c r="P21" s="1579"/>
      <c r="Q21" s="1579"/>
    </row>
    <row r="22" spans="1:28" ht="18.75" customHeight="1">
      <c r="A22"/>
      <c r="B22" s="1646"/>
      <c r="C22" s="1647"/>
      <c r="D22" s="1619"/>
      <c r="E22" s="1661"/>
      <c r="F22" s="1649"/>
      <c r="G22" s="1650"/>
      <c r="H22" s="1651"/>
      <c r="I22" s="1650"/>
      <c r="J22" s="1650"/>
      <c r="K22" s="1650"/>
      <c r="L22" s="1651"/>
      <c r="M22" s="1653"/>
      <c r="N22" s="1412"/>
      <c r="R22"/>
      <c r="S22"/>
      <c r="T22"/>
      <c r="U22"/>
      <c r="V22"/>
      <c r="W22"/>
      <c r="X22"/>
      <c r="Y22"/>
      <c r="Z22"/>
      <c r="AA22"/>
    </row>
    <row r="23" spans="1:28" ht="18.75" customHeight="1">
      <c r="A23"/>
      <c r="B23" s="1646"/>
      <c r="C23" s="1647"/>
      <c r="D23" s="1654"/>
      <c r="E23" s="1661"/>
      <c r="F23" s="1649"/>
      <c r="G23" s="1650"/>
      <c r="H23" s="1651"/>
      <c r="I23" s="1650"/>
      <c r="J23" s="1650"/>
      <c r="K23" s="1650"/>
      <c r="L23" s="1651"/>
      <c r="M23" s="1653"/>
      <c r="N23" s="1412"/>
      <c r="R23"/>
      <c r="S23"/>
      <c r="T23"/>
      <c r="U23"/>
      <c r="V23"/>
      <c r="W23"/>
      <c r="X23"/>
      <c r="Y23"/>
      <c r="Z23"/>
      <c r="AA23"/>
    </row>
    <row r="24" spans="1:28" ht="18.75" customHeight="1">
      <c r="A24"/>
      <c r="B24" s="1646"/>
      <c r="C24" s="1647"/>
      <c r="D24" s="1662"/>
      <c r="E24" s="1661"/>
      <c r="F24" s="1649"/>
      <c r="G24" s="1650"/>
      <c r="H24" s="1651"/>
      <c r="I24" s="1650"/>
      <c r="J24" s="1650"/>
      <c r="K24" s="1650"/>
      <c r="L24" s="1651"/>
      <c r="M24" s="1653"/>
      <c r="N24" s="1412"/>
      <c r="R24"/>
      <c r="S24"/>
      <c r="T24"/>
      <c r="U24"/>
      <c r="V24"/>
      <c r="W24"/>
      <c r="X24"/>
      <c r="Y24"/>
      <c r="Z24"/>
      <c r="AA24"/>
    </row>
    <row r="25" spans="1:28" ht="18.75" customHeight="1">
      <c r="A25"/>
      <c r="B25" s="1646"/>
      <c r="C25" s="1651"/>
      <c r="D25" s="1663"/>
      <c r="E25" s="1661"/>
      <c r="F25" s="1649"/>
      <c r="G25" s="1650"/>
      <c r="H25" s="1651"/>
      <c r="I25" s="1650"/>
      <c r="J25" s="1650"/>
      <c r="K25" s="1650"/>
      <c r="L25" s="1651"/>
      <c r="M25" s="1653"/>
      <c r="N25" s="1412"/>
      <c r="R25"/>
      <c r="S25"/>
      <c r="T25"/>
      <c r="U25"/>
      <c r="V25"/>
      <c r="W25"/>
      <c r="X25"/>
      <c r="Y25"/>
      <c r="Z25"/>
      <c r="AA25"/>
    </row>
    <row r="26" spans="1:28" s="1580" customFormat="1" ht="16.5">
      <c r="A26"/>
      <c r="B26" s="1827" t="s">
        <v>195</v>
      </c>
      <c r="C26" s="1828"/>
      <c r="D26" s="1829" t="s">
        <v>1261</v>
      </c>
      <c r="E26" s="1648"/>
      <c r="F26" s="1649"/>
      <c r="G26" s="1650"/>
      <c r="H26" s="1651"/>
      <c r="I26" s="1832">
        <f>SUM(I27:I35)</f>
        <v>0</v>
      </c>
      <c r="J26" s="1832">
        <f>SUM(J27:J35)</f>
        <v>0</v>
      </c>
      <c r="K26" s="1832">
        <f>SUM(K27:K35)</f>
        <v>0</v>
      </c>
      <c r="L26" s="1656"/>
      <c r="M26" s="1658"/>
      <c r="N26" s="1578"/>
      <c r="O26" s="1579"/>
      <c r="P26" s="1579"/>
      <c r="Q26" s="1579"/>
    </row>
    <row r="27" spans="1:28" ht="17.25">
      <c r="A27"/>
      <c r="B27" s="1646">
        <v>1</v>
      </c>
      <c r="C27" s="1651"/>
      <c r="D27" s="1618" t="s">
        <v>934</v>
      </c>
      <c r="E27" s="1648"/>
      <c r="F27" s="1649"/>
      <c r="G27" s="1650"/>
      <c r="H27" s="1651"/>
      <c r="I27" s="1843"/>
      <c r="J27" s="1652">
        <f>K27-I27</f>
        <v>0</v>
      </c>
      <c r="K27" s="1650">
        <f>I27*1.1</f>
        <v>0</v>
      </c>
      <c r="L27" s="1651" t="s">
        <v>1260</v>
      </c>
      <c r="M27" s="1653"/>
      <c r="N27" s="1412"/>
      <c r="R27"/>
      <c r="S27"/>
      <c r="T27"/>
      <c r="U27"/>
      <c r="V27"/>
      <c r="W27"/>
      <c r="X27"/>
      <c r="Y27"/>
      <c r="Z27"/>
      <c r="AA27"/>
    </row>
    <row r="28" spans="1:28" ht="34.5" customHeight="1">
      <c r="A28"/>
      <c r="B28" s="1646">
        <v>2</v>
      </c>
      <c r="C28" s="1651"/>
      <c r="D28" s="1618" t="s">
        <v>935</v>
      </c>
      <c r="E28" s="1648"/>
      <c r="F28" s="1649"/>
      <c r="G28" s="1650"/>
      <c r="H28" s="1651"/>
      <c r="I28" s="1652"/>
      <c r="J28" s="1652"/>
      <c r="K28" s="1650"/>
      <c r="L28" s="1651" t="s">
        <v>1259</v>
      </c>
      <c r="M28" s="1653"/>
      <c r="N28" s="1412"/>
      <c r="R28"/>
      <c r="S28"/>
      <c r="T28"/>
      <c r="U28"/>
      <c r="V28"/>
      <c r="W28"/>
      <c r="X28"/>
      <c r="Y28"/>
      <c r="Z28"/>
      <c r="AA28"/>
    </row>
    <row r="29" spans="1:28" ht="18.75" customHeight="1">
      <c r="A29"/>
      <c r="B29" s="1646">
        <v>3</v>
      </c>
      <c r="C29" s="1651"/>
      <c r="D29" s="1618" t="s">
        <v>936</v>
      </c>
      <c r="E29" s="1648"/>
      <c r="F29" s="1649"/>
      <c r="G29" s="1650"/>
      <c r="H29" s="1651"/>
      <c r="I29" s="1652"/>
      <c r="J29" s="1652"/>
      <c r="K29" s="1650"/>
      <c r="L29" s="1651" t="s">
        <v>1258</v>
      </c>
      <c r="M29" s="1653"/>
      <c r="N29" s="1412"/>
      <c r="R29"/>
      <c r="S29"/>
      <c r="T29"/>
      <c r="U29"/>
      <c r="V29"/>
      <c r="W29"/>
      <c r="X29"/>
      <c r="Y29"/>
      <c r="Z29"/>
      <c r="AA29"/>
    </row>
    <row r="30" spans="1:28" ht="31.5">
      <c r="A30"/>
      <c r="B30" s="1646">
        <v>4</v>
      </c>
      <c r="C30" s="1651"/>
      <c r="D30" s="1618" t="s">
        <v>937</v>
      </c>
      <c r="E30" s="1648"/>
      <c r="F30" s="1649"/>
      <c r="G30" s="1650"/>
      <c r="H30" s="1651"/>
      <c r="I30" s="1652"/>
      <c r="J30" s="1652"/>
      <c r="K30" s="1650"/>
      <c r="L30" s="1651" t="s">
        <v>1257</v>
      </c>
      <c r="M30" s="1653"/>
      <c r="N30" s="1412"/>
      <c r="R30"/>
      <c r="S30"/>
      <c r="T30"/>
      <c r="U30"/>
      <c r="V30"/>
      <c r="W30"/>
      <c r="X30"/>
      <c r="Y30"/>
      <c r="Z30"/>
      <c r="AA30"/>
    </row>
    <row r="31" spans="1:28" ht="18.75" customHeight="1">
      <c r="A31"/>
      <c r="B31" s="1646">
        <v>5</v>
      </c>
      <c r="C31" s="1651"/>
      <c r="D31" s="1618" t="s">
        <v>938</v>
      </c>
      <c r="E31" s="1648"/>
      <c r="F31" s="1649"/>
      <c r="G31" s="1650"/>
      <c r="H31" s="1651"/>
      <c r="I31" s="1652"/>
      <c r="J31" s="1652"/>
      <c r="K31" s="1650"/>
      <c r="L31" s="1651" t="s">
        <v>1256</v>
      </c>
      <c r="M31" s="1653"/>
      <c r="N31" s="1412"/>
      <c r="R31"/>
      <c r="S31"/>
      <c r="T31"/>
      <c r="U31"/>
      <c r="V31"/>
      <c r="W31"/>
      <c r="X31"/>
      <c r="Y31"/>
      <c r="Z31"/>
      <c r="AA31"/>
    </row>
    <row r="32" spans="1:28" ht="18.75" customHeight="1">
      <c r="A32"/>
      <c r="B32" s="1646">
        <v>6</v>
      </c>
      <c r="C32" s="1651"/>
      <c r="D32" s="1663" t="s">
        <v>939</v>
      </c>
      <c r="E32" s="1648"/>
      <c r="F32" s="1649"/>
      <c r="G32" s="1650"/>
      <c r="H32" s="1651"/>
      <c r="I32" s="1843"/>
      <c r="J32" s="1652">
        <f>K32-I32</f>
        <v>0</v>
      </c>
      <c r="K32" s="1650">
        <f>I32*1.1</f>
        <v>0</v>
      </c>
      <c r="L32" s="1651" t="s">
        <v>1255</v>
      </c>
      <c r="M32" s="1653"/>
      <c r="N32" s="1412"/>
      <c r="R32"/>
      <c r="S32"/>
      <c r="T32"/>
      <c r="U32"/>
      <c r="V32"/>
      <c r="W32"/>
      <c r="X32"/>
      <c r="Y32"/>
      <c r="Z32"/>
      <c r="AA32"/>
    </row>
    <row r="33" spans="1:27" ht="18.75" customHeight="1">
      <c r="A33"/>
      <c r="B33" s="1646">
        <v>7</v>
      </c>
      <c r="C33" s="1664"/>
      <c r="D33" s="1663" t="s">
        <v>940</v>
      </c>
      <c r="E33" s="1648"/>
      <c r="F33" s="1665"/>
      <c r="G33" s="1666"/>
      <c r="H33" s="1667"/>
      <c r="I33" s="1668"/>
      <c r="J33" s="1668"/>
      <c r="K33" s="1650"/>
      <c r="L33" s="1651" t="s">
        <v>1254</v>
      </c>
      <c r="M33" s="1653"/>
      <c r="N33" s="1412"/>
      <c r="R33"/>
      <c r="S33"/>
      <c r="T33"/>
      <c r="U33"/>
      <c r="V33"/>
      <c r="W33"/>
      <c r="X33"/>
      <c r="Y33"/>
      <c r="Z33"/>
      <c r="AA33"/>
    </row>
    <row r="34" spans="1:27" ht="18.75" customHeight="1">
      <c r="A34"/>
      <c r="B34" s="1646">
        <v>8</v>
      </c>
      <c r="C34" s="1664"/>
      <c r="D34" s="1663" t="s">
        <v>941</v>
      </c>
      <c r="E34" s="1648"/>
      <c r="F34" s="1665"/>
      <c r="G34" s="1666"/>
      <c r="H34" s="1667"/>
      <c r="I34" s="1668"/>
      <c r="J34" s="1668"/>
      <c r="K34" s="1650"/>
      <c r="L34" s="1651" t="s">
        <v>1253</v>
      </c>
      <c r="M34" s="1653"/>
      <c r="N34" s="1412"/>
      <c r="R34"/>
      <c r="S34"/>
      <c r="T34"/>
      <c r="U34"/>
      <c r="V34"/>
      <c r="W34"/>
      <c r="X34"/>
      <c r="Y34"/>
      <c r="Z34"/>
      <c r="AA34"/>
    </row>
    <row r="35" spans="1:27" ht="18.75" customHeight="1">
      <c r="A35"/>
      <c r="B35" s="1669">
        <v>9</v>
      </c>
      <c r="C35" s="1664"/>
      <c r="D35" s="1670" t="s">
        <v>942</v>
      </c>
      <c r="E35" s="1671"/>
      <c r="F35" s="1672"/>
      <c r="G35" s="1673"/>
      <c r="H35" s="1674"/>
      <c r="I35" s="1675"/>
      <c r="J35" s="1675"/>
      <c r="K35" s="1676"/>
      <c r="L35" s="1664" t="s">
        <v>1252</v>
      </c>
      <c r="M35" s="1677"/>
      <c r="N35" s="1412"/>
      <c r="R35"/>
      <c r="S35"/>
      <c r="T35"/>
      <c r="U35"/>
      <c r="V35"/>
      <c r="W35"/>
      <c r="X35"/>
      <c r="Y35"/>
      <c r="Z35"/>
      <c r="AA35"/>
    </row>
    <row r="36" spans="1:27" ht="30" customHeight="1">
      <c r="A36"/>
      <c r="B36" s="1800" t="s">
        <v>80</v>
      </c>
      <c r="C36" s="1635"/>
      <c r="D36" s="1801" t="s">
        <v>1426</v>
      </c>
      <c r="E36" s="1802"/>
      <c r="F36" s="1678"/>
      <c r="G36" s="1679"/>
      <c r="H36" s="1680"/>
      <c r="I36" s="1641">
        <f>SUM(I37:I42)</f>
        <v>0</v>
      </c>
      <c r="J36" s="1641"/>
      <c r="K36" s="1641">
        <f>I36</f>
        <v>0</v>
      </c>
      <c r="L36" s="1642" t="s">
        <v>523</v>
      </c>
      <c r="M36" s="1643" t="s">
        <v>1251</v>
      </c>
      <c r="N36" s="1412" t="s">
        <v>1227</v>
      </c>
      <c r="R36"/>
      <c r="S36"/>
      <c r="T36"/>
      <c r="U36"/>
      <c r="V36"/>
      <c r="W36"/>
      <c r="X36"/>
      <c r="Y36"/>
      <c r="Z36"/>
      <c r="AA36"/>
    </row>
    <row r="37" spans="1:27" ht="18.75" customHeight="1">
      <c r="A37" s="1902" t="s">
        <v>1456</v>
      </c>
      <c r="B37" s="1844"/>
      <c r="C37" s="1651"/>
      <c r="D37" s="1618" t="s">
        <v>1457</v>
      </c>
      <c r="E37" s="1681" t="s">
        <v>1458</v>
      </c>
      <c r="F37" s="1665"/>
      <c r="G37" s="1666"/>
      <c r="H37" s="1667"/>
      <c r="I37" s="1682"/>
      <c r="J37" s="1682"/>
      <c r="K37" s="1650"/>
      <c r="L37" s="1585"/>
      <c r="M37" s="1683"/>
      <c r="N37" s="1412"/>
      <c r="R37"/>
      <c r="S37"/>
      <c r="T37"/>
      <c r="U37"/>
      <c r="V37"/>
      <c r="W37"/>
      <c r="X37"/>
      <c r="Y37"/>
      <c r="Z37"/>
      <c r="AA37"/>
    </row>
    <row r="38" spans="1:27" ht="16.5">
      <c r="A38"/>
      <c r="B38" s="1803"/>
      <c r="C38" s="1684"/>
      <c r="D38" s="1804" t="s">
        <v>1444</v>
      </c>
      <c r="E38" s="1826">
        <f>(CPXDtt+CPTBtt)/10^9</f>
        <v>0</v>
      </c>
      <c r="F38" s="1687"/>
      <c r="G38" s="1688"/>
      <c r="H38" s="1689"/>
      <c r="I38" s="1688"/>
      <c r="J38" s="1688"/>
      <c r="K38" s="1690"/>
      <c r="L38" s="1691"/>
      <c r="M38" s="1692"/>
      <c r="N38" s="1412"/>
      <c r="R38"/>
      <c r="S38"/>
      <c r="T38"/>
      <c r="U38"/>
      <c r="V38"/>
      <c r="W38"/>
      <c r="X38"/>
      <c r="Y38"/>
      <c r="Z38"/>
      <c r="AA38"/>
    </row>
    <row r="39" spans="1:27" ht="16.5">
      <c r="A39"/>
      <c r="B39" s="1805"/>
      <c r="C39" s="1684"/>
      <c r="D39" s="1617" t="s">
        <v>1429</v>
      </c>
      <c r="E39" s="1806">
        <f>NoiSuy1(DMTL!$B$19:$O$24,1,E38,LCT)%</f>
        <v>3.5569999999999997E-2</v>
      </c>
      <c r="F39" s="1687"/>
      <c r="G39" s="1693"/>
      <c r="H39" s="1689"/>
      <c r="I39" s="1693"/>
      <c r="J39" s="1688"/>
      <c r="K39" s="1690"/>
      <c r="L39" s="1691"/>
      <c r="M39" s="1692"/>
      <c r="N39" s="1412"/>
      <c r="R39"/>
      <c r="S39"/>
      <c r="T39"/>
      <c r="U39"/>
      <c r="V39"/>
      <c r="W39"/>
      <c r="X39"/>
      <c r="Y39"/>
      <c r="Z39"/>
      <c r="AA39"/>
    </row>
    <row r="40" spans="1:27" ht="16.5">
      <c r="A40"/>
      <c r="B40" s="1805"/>
      <c r="C40" s="1684"/>
      <c r="D40" s="1807" t="s">
        <v>1515</v>
      </c>
      <c r="E40" s="1808"/>
      <c r="F40" s="1687"/>
      <c r="G40" s="1688"/>
      <c r="H40" s="1689"/>
      <c r="I40" s="1688"/>
      <c r="J40" s="1688"/>
      <c r="K40" s="1690"/>
      <c r="L40" s="1691"/>
      <c r="M40" s="1692"/>
      <c r="N40" s="1412"/>
      <c r="R40"/>
      <c r="S40"/>
      <c r="T40"/>
      <c r="U40"/>
      <c r="V40"/>
      <c r="W40"/>
      <c r="X40"/>
      <c r="Y40"/>
      <c r="Z40"/>
      <c r="AA40"/>
    </row>
    <row r="41" spans="1:27" ht="16.5">
      <c r="A41"/>
      <c r="B41" s="1805"/>
      <c r="C41" s="1684"/>
      <c r="D41" s="1617" t="s">
        <v>67</v>
      </c>
      <c r="E41" s="1845" t="str">
        <f>IF(LCT=1,"CT dân dụng",IF(LCT=2,"CT công nghiệp",IF(LCT=3,"CT giao thông",IF(LCT=4,"CT NN &amp; PTNT",IF(LCT=5,"CT HTKT")))))</f>
        <v>CT công nghiệp</v>
      </c>
      <c r="F41" s="1687"/>
      <c r="G41" s="1688"/>
      <c r="H41" s="1689"/>
      <c r="I41" s="1688"/>
      <c r="J41" s="1688"/>
      <c r="K41" s="1690"/>
      <c r="L41" s="1695"/>
      <c r="M41" s="1696"/>
      <c r="N41" s="1412"/>
      <c r="R41"/>
      <c r="S41"/>
      <c r="T41"/>
      <c r="U41"/>
      <c r="V41"/>
      <c r="W41"/>
      <c r="X41"/>
      <c r="Y41"/>
      <c r="Z41"/>
      <c r="AA41"/>
    </row>
    <row r="42" spans="1:27" ht="16.5">
      <c r="A42"/>
      <c r="B42" s="1805"/>
      <c r="C42" s="1684"/>
      <c r="D42" s="1617"/>
      <c r="E42" s="1845"/>
      <c r="F42" s="1687"/>
      <c r="G42" s="1688"/>
      <c r="H42" s="1689"/>
      <c r="I42" s="1846"/>
      <c r="J42" s="1688"/>
      <c r="K42" s="1690"/>
      <c r="L42" s="1695"/>
      <c r="M42" s="1696"/>
      <c r="N42" s="1412"/>
      <c r="R42"/>
      <c r="S42"/>
      <c r="T42"/>
      <c r="U42"/>
      <c r="V42"/>
      <c r="W42"/>
      <c r="X42"/>
      <c r="Y42"/>
      <c r="Z42"/>
      <c r="AA42"/>
    </row>
    <row r="43" spans="1:27" ht="36.75" hidden="1" customHeight="1">
      <c r="A43"/>
      <c r="B43" s="1697">
        <v>1</v>
      </c>
      <c r="C43" s="1624"/>
      <c r="D43" s="1698" t="s">
        <v>1250</v>
      </c>
      <c r="E43" s="1706" t="s">
        <v>469</v>
      </c>
      <c r="F43" s="1699"/>
      <c r="G43" s="1700"/>
      <c r="H43" s="1701"/>
      <c r="I43" s="1630"/>
      <c r="J43" s="1702"/>
      <c r="K43" s="1703"/>
      <c r="L43" s="1704"/>
      <c r="M43" s="1705"/>
      <c r="N43" s="1412"/>
      <c r="R43"/>
      <c r="S43"/>
      <c r="T43"/>
      <c r="U43"/>
      <c r="V43"/>
      <c r="W43"/>
      <c r="X43"/>
      <c r="Y43"/>
      <c r="Z43"/>
      <c r="AA43"/>
    </row>
    <row r="44" spans="1:27" s="1589" customFormat="1" ht="34.5" hidden="1" customHeight="1">
      <c r="A44"/>
      <c r="B44" s="1697">
        <v>2</v>
      </c>
      <c r="C44" s="1624"/>
      <c r="D44" s="1698" t="s">
        <v>1249</v>
      </c>
      <c r="E44" s="1706" t="str">
        <f>IF(E47=0,"Nt*(GXDtt+GTBtt)","Nt*(GXDtt+GTBtt)*k")</f>
        <v>Nt*(GXDtt+GTBtt)</v>
      </c>
      <c r="F44" s="1699"/>
      <c r="G44" s="1700"/>
      <c r="H44" s="1701"/>
      <c r="I44" s="1703">
        <f>PRODUCT(E45,E46,E47)*10^9</f>
        <v>0</v>
      </c>
      <c r="J44" s="1702"/>
      <c r="K44" s="1703">
        <f>I44</f>
        <v>0</v>
      </c>
      <c r="L44" s="1704"/>
      <c r="M44" s="1705" t="s">
        <v>1248</v>
      </c>
      <c r="N44" s="1590"/>
      <c r="O44" s="1591"/>
      <c r="P44" s="1591"/>
      <c r="Q44" s="1591"/>
    </row>
    <row r="45" spans="1:27" s="1582" customFormat="1" ht="17.25" hidden="1">
      <c r="B45" s="1707"/>
      <c r="C45" s="1708"/>
      <c r="D45" s="1685" t="s">
        <v>1427</v>
      </c>
      <c r="E45" s="1686">
        <f>E38</f>
        <v>0</v>
      </c>
      <c r="F45" s="1687"/>
      <c r="G45" s="1688"/>
      <c r="H45" s="1709"/>
      <c r="I45" s="1710"/>
      <c r="J45" s="1710"/>
      <c r="K45" s="1711"/>
      <c r="L45" s="1712"/>
      <c r="M45" s="1713"/>
      <c r="N45" s="1583"/>
      <c r="O45" s="1584"/>
      <c r="P45" s="1584"/>
      <c r="Q45" s="1584"/>
    </row>
    <row r="46" spans="1:27" ht="16.5" hidden="1">
      <c r="A46"/>
      <c r="B46" s="1714"/>
      <c r="C46" s="1715"/>
      <c r="D46" s="1617" t="s">
        <v>1429</v>
      </c>
      <c r="E46" s="1716"/>
      <c r="F46" s="1717"/>
      <c r="G46" s="1718"/>
      <c r="H46" s="1719"/>
      <c r="I46" s="1720"/>
      <c r="J46" s="1720"/>
      <c r="K46" s="1721"/>
      <c r="L46" s="1722"/>
      <c r="M46" s="1723"/>
      <c r="N46" s="1412"/>
      <c r="R46"/>
      <c r="S46"/>
      <c r="T46"/>
      <c r="U46"/>
      <c r="V46"/>
      <c r="W46"/>
      <c r="X46"/>
      <c r="Y46"/>
      <c r="Z46"/>
      <c r="AA46"/>
    </row>
    <row r="47" spans="1:27" ht="16.5" hidden="1">
      <c r="A47"/>
      <c r="B47" s="1714"/>
      <c r="C47" s="1715"/>
      <c r="D47" s="1694" t="s">
        <v>1515</v>
      </c>
      <c r="E47" s="1724"/>
      <c r="F47" s="1717"/>
      <c r="G47" s="1718"/>
      <c r="H47" s="1719"/>
      <c r="I47" s="1720"/>
      <c r="J47" s="1720"/>
      <c r="K47" s="1721"/>
      <c r="L47" s="1725"/>
      <c r="M47" s="1726"/>
      <c r="N47" s="1412"/>
      <c r="R47"/>
      <c r="S47"/>
      <c r="T47"/>
      <c r="U47"/>
      <c r="V47"/>
      <c r="W47"/>
      <c r="X47"/>
      <c r="Y47"/>
      <c r="Z47"/>
      <c r="AA47"/>
    </row>
    <row r="48" spans="1:27" ht="16.5" hidden="1">
      <c r="A48"/>
      <c r="B48" s="1714"/>
      <c r="C48" s="1715"/>
      <c r="D48" s="1617" t="s">
        <v>67</v>
      </c>
      <c r="E48" s="1847" t="str">
        <f>IF(LCT=1,"CT dân dụng",IF(LCT=2,"CT công nghiệp",IF(LCT=3,"CT giao thông",IF(LCT=4,"CT NN &amp; PTNT",IF(LCT=5,"CT HTKT")))))</f>
        <v>CT công nghiệp</v>
      </c>
      <c r="F48" s="1717"/>
      <c r="G48" s="1718"/>
      <c r="H48" s="1719"/>
      <c r="I48" s="1720"/>
      <c r="J48" s="1720"/>
      <c r="K48" s="1721"/>
      <c r="L48" s="1725"/>
      <c r="M48" s="1726"/>
      <c r="N48" s="1412"/>
      <c r="R48"/>
      <c r="S48"/>
      <c r="T48"/>
      <c r="U48"/>
      <c r="V48"/>
      <c r="W48"/>
      <c r="X48"/>
      <c r="Y48"/>
      <c r="Z48"/>
      <c r="AA48"/>
    </row>
    <row r="49" spans="1:27" ht="16.5" hidden="1">
      <c r="A49"/>
      <c r="B49" s="1697">
        <v>3</v>
      </c>
      <c r="C49" s="1624"/>
      <c r="D49" s="1727" t="s">
        <v>1247</v>
      </c>
      <c r="E49" s="1799" t="s">
        <v>1246</v>
      </c>
      <c r="F49" s="1728"/>
      <c r="G49" s="1729"/>
      <c r="H49" s="1704"/>
      <c r="I49" s="1702">
        <f>PRODUCT(E50,E51,E52)*0.7*10^9</f>
        <v>0</v>
      </c>
      <c r="J49" s="1702"/>
      <c r="K49" s="1703">
        <f>I49</f>
        <v>0</v>
      </c>
      <c r="L49" s="1629"/>
      <c r="M49" s="1730" t="s">
        <v>1245</v>
      </c>
      <c r="N49" s="1412"/>
      <c r="R49"/>
      <c r="S49"/>
      <c r="T49"/>
      <c r="U49"/>
      <c r="V49"/>
      <c r="W49"/>
      <c r="X49"/>
      <c r="Y49"/>
      <c r="Z49"/>
      <c r="AA49"/>
    </row>
    <row r="50" spans="1:27" s="1582" customFormat="1" ht="17.25" hidden="1">
      <c r="B50" s="1707"/>
      <c r="C50" s="1708"/>
      <c r="D50" s="1685" t="s">
        <v>1427</v>
      </c>
      <c r="E50" s="1731">
        <f>E38</f>
        <v>0</v>
      </c>
      <c r="F50" s="1687"/>
      <c r="G50" s="1688"/>
      <c r="H50" s="1709"/>
      <c r="I50" s="1710"/>
      <c r="J50" s="1710"/>
      <c r="K50" s="1711"/>
      <c r="L50" s="1712"/>
      <c r="M50" s="1713"/>
      <c r="N50" s="1583"/>
      <c r="O50" s="1584"/>
      <c r="P50" s="1584"/>
      <c r="Q50" s="1584"/>
    </row>
    <row r="51" spans="1:27" ht="16.5" hidden="1">
      <c r="A51"/>
      <c r="B51" s="1714"/>
      <c r="C51" s="1715"/>
      <c r="D51" s="1617" t="s">
        <v>1429</v>
      </c>
      <c r="E51" s="1732">
        <f>E39</f>
        <v>3.5569999999999997E-2</v>
      </c>
      <c r="F51" s="1717"/>
      <c r="G51" s="1718"/>
      <c r="H51" s="1719"/>
      <c r="I51" s="1720"/>
      <c r="J51" s="1720"/>
      <c r="K51" s="1721"/>
      <c r="L51" s="1722"/>
      <c r="M51" s="1723"/>
      <c r="N51" s="1412"/>
      <c r="R51"/>
      <c r="S51"/>
      <c r="T51"/>
      <c r="U51"/>
      <c r="V51"/>
      <c r="W51"/>
      <c r="X51"/>
      <c r="Y51"/>
      <c r="Z51"/>
      <c r="AA51"/>
    </row>
    <row r="52" spans="1:27" ht="16.5" hidden="1">
      <c r="A52"/>
      <c r="B52" s="1714"/>
      <c r="C52" s="1715"/>
      <c r="D52" s="1733" t="s">
        <v>1515</v>
      </c>
      <c r="E52" s="1724"/>
      <c r="F52" s="1734"/>
      <c r="G52" s="1735"/>
      <c r="H52" s="1736"/>
      <c r="I52" s="1737"/>
      <c r="J52" s="1737"/>
      <c r="K52" s="1738"/>
      <c r="L52" s="1725"/>
      <c r="M52" s="1726"/>
      <c r="N52" s="1412"/>
      <c r="R52"/>
      <c r="S52"/>
      <c r="T52"/>
      <c r="U52"/>
      <c r="V52"/>
      <c r="W52"/>
      <c r="X52"/>
      <c r="Y52"/>
      <c r="Z52"/>
      <c r="AA52"/>
    </row>
    <row r="53" spans="1:27" ht="16.5" hidden="1">
      <c r="A53"/>
      <c r="B53" s="1739"/>
      <c r="C53" s="1740"/>
      <c r="D53" s="1617" t="s">
        <v>67</v>
      </c>
      <c r="E53" s="1847" t="str">
        <f>IF(LCT=1,"CT dân dụng",IF(LCT=2,"CT công nghiệp",IF(LCT=3,"CT giao thông",IF(LCT=4,"CT NN &amp; PTNT",IF(LCT=5,"CT HTKT")))))</f>
        <v>CT công nghiệp</v>
      </c>
      <c r="F53" s="1734"/>
      <c r="G53" s="1735"/>
      <c r="H53" s="1736"/>
      <c r="I53" s="1737"/>
      <c r="J53" s="1737"/>
      <c r="K53" s="1737"/>
      <c r="L53" s="1736"/>
      <c r="M53" s="1741"/>
      <c r="N53" s="1412"/>
      <c r="R53"/>
      <c r="S53"/>
      <c r="T53"/>
      <c r="U53"/>
      <c r="V53"/>
      <c r="W53"/>
      <c r="X53"/>
      <c r="Y53"/>
      <c r="Z53"/>
      <c r="AA53"/>
    </row>
    <row r="54" spans="1:27" ht="30" customHeight="1">
      <c r="A54"/>
      <c r="B54" s="1634" t="s">
        <v>769</v>
      </c>
      <c r="C54" s="1635"/>
      <c r="D54" s="1742" t="s">
        <v>1428</v>
      </c>
      <c r="E54" s="1842"/>
      <c r="F54" s="1678"/>
      <c r="G54" s="1679"/>
      <c r="H54" s="1680"/>
      <c r="I54" s="1641">
        <f>SUM(I55:I104)</f>
        <v>0</v>
      </c>
      <c r="J54" s="1641">
        <f t="shared" ref="J54:J101" si="1">K54-I54</f>
        <v>0</v>
      </c>
      <c r="K54" s="1641">
        <f>SUM(K55:K104)</f>
        <v>0</v>
      </c>
      <c r="L54" s="1642" t="s">
        <v>524</v>
      </c>
      <c r="M54" s="1643" t="s">
        <v>1244</v>
      </c>
      <c r="N54" s="1412" t="s">
        <v>1227</v>
      </c>
      <c r="R54"/>
      <c r="S54"/>
      <c r="T54"/>
      <c r="U54"/>
      <c r="V54"/>
      <c r="W54"/>
      <c r="X54"/>
      <c r="Y54"/>
      <c r="Z54"/>
      <c r="AA54"/>
    </row>
    <row r="55" spans="1:27" ht="27.6" customHeight="1">
      <c r="A55" s="1902" t="s">
        <v>1449</v>
      </c>
      <c r="B55" s="1848">
        <v>1</v>
      </c>
      <c r="C55" s="1651"/>
      <c r="D55" s="1618" t="str">
        <f>IF(Ts!L20=1,"Chi phí lập báo cáo nghiên cứu tiền khả thi đầu tư xây dựng","")</f>
        <v>Chi phí lập báo cáo nghiên cứu tiền khả thi đầu tư xây dựng</v>
      </c>
      <c r="E55" s="1681" t="str">
        <f>IF(D55="","",IF(E59=0,"Nt*(GXDtt+GTBtt)","Nt*(GXDtt+GTBtt)*k"))</f>
        <v>Nt*(GXDtt+GTBtt)*k</v>
      </c>
      <c r="F55" s="1665"/>
      <c r="G55" s="1666"/>
      <c r="H55" s="1667"/>
      <c r="I55" s="1682">
        <f>PRODUCT(E56:E58)*10^9</f>
        <v>0</v>
      </c>
      <c r="J55" s="1682">
        <f t="shared" si="1"/>
        <v>0</v>
      </c>
      <c r="K55" s="1650">
        <f t="shared" ref="K55:K90" si="2">I55*1.1</f>
        <v>0</v>
      </c>
      <c r="L55" s="1585"/>
      <c r="M55" s="1683" t="s">
        <v>1243</v>
      </c>
      <c r="N55" s="1412"/>
      <c r="R55"/>
      <c r="S55"/>
      <c r="T55"/>
      <c r="U55"/>
      <c r="V55"/>
      <c r="W55"/>
      <c r="X55"/>
      <c r="Y55"/>
      <c r="Z55"/>
      <c r="AA55"/>
    </row>
    <row r="56" spans="1:27" ht="18.75" customHeight="1">
      <c r="A56"/>
      <c r="B56" s="1809"/>
      <c r="C56" s="1744"/>
      <c r="D56" s="1657" t="s">
        <v>1472</v>
      </c>
      <c r="E56" s="1826">
        <f>(CPXDtt+CPTBtt)/10^9</f>
        <v>0</v>
      </c>
      <c r="F56" s="1810"/>
      <c r="G56" s="1750"/>
      <c r="H56" s="1744"/>
      <c r="I56" s="1811"/>
      <c r="J56" s="1811"/>
      <c r="K56" s="1750"/>
      <c r="L56" s="1586"/>
      <c r="M56" s="1751"/>
      <c r="N56" s="1412"/>
      <c r="R56"/>
      <c r="S56"/>
      <c r="T56"/>
      <c r="U56"/>
      <c r="V56"/>
      <c r="W56"/>
      <c r="X56"/>
      <c r="Y56"/>
      <c r="Z56"/>
      <c r="AA56"/>
    </row>
    <row r="57" spans="1:27" ht="18.75" customHeight="1">
      <c r="A57"/>
      <c r="B57" s="1809"/>
      <c r="C57" s="1744"/>
      <c r="D57" s="1617" t="s">
        <v>1429</v>
      </c>
      <c r="E57" s="1849">
        <f>NoiSuy1(DMTL!$B$29:$O$34,1,E56,LCT)%</f>
        <v>7.5700000000000003E-3</v>
      </c>
      <c r="F57" s="1810"/>
      <c r="G57" s="1750"/>
      <c r="H57" s="1744"/>
      <c r="I57" s="1811"/>
      <c r="J57" s="1811"/>
      <c r="K57" s="1750"/>
      <c r="L57" s="1608"/>
      <c r="M57" s="1752"/>
      <c r="N57" s="1412"/>
      <c r="R57"/>
      <c r="S57"/>
      <c r="T57"/>
      <c r="U57"/>
      <c r="V57"/>
      <c r="W57"/>
      <c r="X57"/>
      <c r="Y57"/>
      <c r="Z57"/>
      <c r="AA57"/>
    </row>
    <row r="58" spans="1:27" ht="18.75" customHeight="1">
      <c r="A58"/>
      <c r="B58" s="1809"/>
      <c r="C58" s="1744"/>
      <c r="D58" s="1617" t="s">
        <v>1515</v>
      </c>
      <c r="E58" s="1812"/>
      <c r="F58" s="1810"/>
      <c r="G58" s="1750"/>
      <c r="H58" s="1744"/>
      <c r="I58" s="1811"/>
      <c r="J58" s="1811"/>
      <c r="K58" s="1750"/>
      <c r="L58" s="1586"/>
      <c r="M58" s="1751"/>
      <c r="N58" s="1412"/>
      <c r="Q58" s="1413"/>
      <c r="R58"/>
      <c r="S58"/>
      <c r="T58"/>
      <c r="U58"/>
      <c r="V58"/>
      <c r="W58"/>
      <c r="X58"/>
      <c r="Y58"/>
      <c r="Z58"/>
      <c r="AA58"/>
    </row>
    <row r="59" spans="1:27" s="1605" customFormat="1" ht="18.75" customHeight="1">
      <c r="B59" s="1809"/>
      <c r="C59" s="1744"/>
      <c r="D59" s="1617" t="s">
        <v>67</v>
      </c>
      <c r="E59" s="1845" t="str">
        <f>IF(LCT=1,"CT dân dụng",IF(LCT=2,"CT công nghiệp",IF(LCT=3,"CT giao thông",IF(LCT=4,"CT NN &amp; PTNT",IF(LCT=5,"CT HTKT")))))</f>
        <v>CT công nghiệp</v>
      </c>
      <c r="F59" s="1810"/>
      <c r="G59" s="1750"/>
      <c r="H59" s="1744"/>
      <c r="I59" s="1811"/>
      <c r="J59" s="1811"/>
      <c r="K59" s="1750"/>
      <c r="L59" s="1587"/>
      <c r="M59" s="1753"/>
      <c r="N59" s="1606"/>
      <c r="O59" s="1607"/>
      <c r="P59" s="1607"/>
      <c r="Q59" s="1609"/>
    </row>
    <row r="60" spans="1:27" ht="18.75" customHeight="1">
      <c r="A60" s="1903" t="s">
        <v>1449</v>
      </c>
      <c r="B60" s="1813">
        <v>2</v>
      </c>
      <c r="C60" s="1651"/>
      <c r="D60" s="1618" t="str">
        <f>IF(Ts!L20=1,"Chi phí thẩm tra báo cáo nghiên cứu tiền khả thi","")</f>
        <v>Chi phí thẩm tra báo cáo nghiên cứu tiền khả thi</v>
      </c>
      <c r="E60" s="1850" t="str">
        <f>IF(baocao_=1,"Nt*(CPXDtt+CPTBtt)","Chọn lại loại báo cáo")</f>
        <v>Nt*(CPXDtt+CPTBtt)</v>
      </c>
      <c r="F60" s="1649"/>
      <c r="G60" s="1650"/>
      <c r="H60" s="1651"/>
      <c r="I60" s="1814">
        <f>PRODUCT(E61:E62)*10^9</f>
        <v>0</v>
      </c>
      <c r="J60" s="1814">
        <f t="shared" si="1"/>
        <v>0</v>
      </c>
      <c r="K60" s="1650">
        <f t="shared" si="2"/>
        <v>0</v>
      </c>
      <c r="L60" s="1414"/>
      <c r="M60" s="1683" t="s">
        <v>1242</v>
      </c>
      <c r="N60" s="1412"/>
      <c r="P60"/>
      <c r="Q60"/>
      <c r="R60"/>
      <c r="S60"/>
      <c r="T60"/>
      <c r="U60"/>
      <c r="V60"/>
      <c r="W60"/>
      <c r="X60"/>
      <c r="Y60"/>
      <c r="Z60"/>
      <c r="AA60"/>
    </row>
    <row r="61" spans="1:27" s="1582" customFormat="1" ht="18.75" customHeight="1">
      <c r="B61" s="1809"/>
      <c r="C61" s="1744"/>
      <c r="D61" s="1657" t="s">
        <v>1472</v>
      </c>
      <c r="E61" s="1826">
        <f>(CPXDtt+CPTBtt)/10^9</f>
        <v>0</v>
      </c>
      <c r="F61" s="1810"/>
      <c r="G61" s="1750"/>
      <c r="H61" s="1744"/>
      <c r="I61" s="1811"/>
      <c r="J61" s="1811"/>
      <c r="K61" s="1750"/>
      <c r="L61" s="1586"/>
      <c r="M61" s="1751"/>
      <c r="N61" s="1583"/>
      <c r="O61" s="1592"/>
    </row>
    <row r="62" spans="1:27" ht="18.75" customHeight="1">
      <c r="A62"/>
      <c r="B62" s="1813"/>
      <c r="C62" s="1651"/>
      <c r="D62" s="1617" t="s">
        <v>1429</v>
      </c>
      <c r="E62" s="1849">
        <f>NoiSuy1(DMTL!$B$220:$O$225,1,E61,LCT)%</f>
        <v>9.7999999999999997E-4</v>
      </c>
      <c r="F62" s="1649"/>
      <c r="G62" s="1650"/>
      <c r="H62" s="1651"/>
      <c r="I62" s="1814"/>
      <c r="J62" s="1814"/>
      <c r="K62" s="1650"/>
      <c r="L62" s="1610"/>
      <c r="M62" s="1754"/>
      <c r="N62" s="1412"/>
      <c r="P62"/>
      <c r="Q62"/>
      <c r="R62"/>
      <c r="S62"/>
      <c r="T62"/>
      <c r="U62"/>
      <c r="V62"/>
      <c r="W62"/>
      <c r="X62"/>
      <c r="Y62"/>
      <c r="Z62"/>
      <c r="AA62"/>
    </row>
    <row r="63" spans="1:27" s="1605" customFormat="1" ht="18.75" customHeight="1">
      <c r="B63" s="1813"/>
      <c r="C63" s="1651"/>
      <c r="D63" s="1617" t="s">
        <v>67</v>
      </c>
      <c r="E63" s="1845" t="str">
        <f>IF(LCT=1,"CT dân dụng",IF(LCT=2,"CT công nghiệp",IF(LCT=3,"CT giao thông",IF(LCT=4,"CT NN &amp; PTNT",IF(LCT=5,"CT HTKT")))))</f>
        <v>CT công nghiệp</v>
      </c>
      <c r="F63" s="1649"/>
      <c r="G63" s="1650"/>
      <c r="H63" s="1651"/>
      <c r="I63" s="1814"/>
      <c r="J63" s="1814"/>
      <c r="K63" s="1650"/>
      <c r="L63" s="1612"/>
      <c r="M63" s="1756"/>
      <c r="N63" s="1606"/>
      <c r="O63" s="1607"/>
    </row>
    <row r="64" spans="1:27" ht="18.75" customHeight="1">
      <c r="A64" s="1903" t="s">
        <v>1450</v>
      </c>
      <c r="B64" s="1813">
        <v>3</v>
      </c>
      <c r="C64" s="1651"/>
      <c r="D64" s="1618" t="str">
        <f>IF(OR(Ts!L19=2,Ts!L19=3),"Chi phí lập báo cáo nghiên cứu khả thi đầu tư xây dựng","Chi phí lập báo cáo kinh tế kỹ thuật đầu tư xây dựng")</f>
        <v>Chi phí lập báo cáo nghiên cứu khả thi đầu tư xây dựng</v>
      </c>
      <c r="E64" s="1681" t="str">
        <f>IF(D64="","",IF(E68=0,"Nt*(GXDtt+GTBtt)","Nt*(GXDtt+GTBtt)*k"))</f>
        <v>Nt*(GXDtt+GTBtt)*k</v>
      </c>
      <c r="F64" s="1649"/>
      <c r="G64" s="1650"/>
      <c r="H64" s="1651"/>
      <c r="I64" s="1814">
        <f>PRODUCT(E65:E67)*10^9</f>
        <v>0</v>
      </c>
      <c r="J64" s="1814">
        <f t="shared" si="1"/>
        <v>0</v>
      </c>
      <c r="K64" s="1650">
        <f t="shared" si="2"/>
        <v>0</v>
      </c>
      <c r="L64" s="1414"/>
      <c r="M64" s="1683" t="s">
        <v>1241</v>
      </c>
      <c r="N64" s="1412"/>
      <c r="P64"/>
      <c r="Q64"/>
      <c r="R64"/>
      <c r="S64"/>
      <c r="T64"/>
      <c r="U64"/>
      <c r="V64"/>
      <c r="W64"/>
      <c r="X64"/>
      <c r="Y64"/>
      <c r="Z64"/>
      <c r="AA64"/>
    </row>
    <row r="65" spans="1:27" s="1582" customFormat="1" ht="18.75" customHeight="1">
      <c r="B65" s="1809"/>
      <c r="C65" s="1744"/>
      <c r="D65" s="1657" t="s">
        <v>1472</v>
      </c>
      <c r="E65" s="1826">
        <f>(CPXDtt+CPTBtt)/10^9</f>
        <v>0</v>
      </c>
      <c r="F65" s="1810"/>
      <c r="G65" s="1750"/>
      <c r="H65" s="1744"/>
      <c r="I65" s="1811"/>
      <c r="J65" s="1811"/>
      <c r="K65" s="1750"/>
      <c r="L65" s="1586"/>
      <c r="M65" s="1751"/>
      <c r="N65" s="1583"/>
      <c r="O65" s="1584"/>
    </row>
    <row r="66" spans="1:27" ht="18.75" customHeight="1">
      <c r="A66"/>
      <c r="B66" s="1813"/>
      <c r="C66" s="1651"/>
      <c r="D66" s="1617" t="s">
        <v>1429</v>
      </c>
      <c r="E66" s="1849">
        <f>NoiSuy1(DMTL!$B$39:$O$44,1,E65,LCT)%</f>
        <v>1.261E-2</v>
      </c>
      <c r="F66" s="1649"/>
      <c r="G66" s="1650"/>
      <c r="H66" s="1651"/>
      <c r="I66" s="1814"/>
      <c r="J66" s="1814"/>
      <c r="K66" s="1650"/>
      <c r="L66" s="1414"/>
      <c r="M66" s="1683"/>
      <c r="N66" s="1412"/>
      <c r="P66"/>
      <c r="Q66"/>
      <c r="R66"/>
      <c r="S66"/>
      <c r="T66"/>
      <c r="U66"/>
      <c r="V66"/>
      <c r="W66"/>
      <c r="X66"/>
      <c r="Y66"/>
      <c r="Z66"/>
      <c r="AA66"/>
    </row>
    <row r="67" spans="1:27" ht="18.75" customHeight="1">
      <c r="A67"/>
      <c r="B67" s="1813"/>
      <c r="C67" s="1651"/>
      <c r="D67" s="1617" t="s">
        <v>1515</v>
      </c>
      <c r="E67" s="1816"/>
      <c r="F67" s="1649"/>
      <c r="G67" s="1650"/>
      <c r="H67" s="1651"/>
      <c r="I67" s="1814"/>
      <c r="J67" s="1814"/>
      <c r="K67" s="1650"/>
      <c r="L67" s="1414"/>
      <c r="M67" s="1683"/>
      <c r="N67" s="1412"/>
      <c r="P67"/>
      <c r="Q67"/>
      <c r="R67"/>
      <c r="S67"/>
      <c r="T67"/>
      <c r="U67"/>
      <c r="V67"/>
      <c r="W67"/>
      <c r="X67"/>
      <c r="Y67"/>
      <c r="Z67"/>
      <c r="AA67"/>
    </row>
    <row r="68" spans="1:27" s="1605" customFormat="1" ht="18.75" customHeight="1">
      <c r="B68" s="1813"/>
      <c r="C68" s="1651"/>
      <c r="D68" s="1617" t="s">
        <v>67</v>
      </c>
      <c r="E68" s="1845" t="str">
        <f>IF(LCT=1,"CT dân dụng",IF(LCT=2,"CT công nghiệp",IF(LCT=3,"CT giao thông",IF(LCT=4,"CT NN &amp; PTNT",IF(LCT=5,"CT HTKT")))))</f>
        <v>CT công nghiệp</v>
      </c>
      <c r="F68" s="1649"/>
      <c r="G68" s="1650"/>
      <c r="H68" s="1651"/>
      <c r="I68" s="1814"/>
      <c r="J68" s="1814"/>
      <c r="K68" s="1650"/>
      <c r="L68" s="1612"/>
      <c r="M68" s="1756"/>
      <c r="N68" s="1606"/>
      <c r="O68" s="1607"/>
    </row>
    <row r="69" spans="1:27" ht="18.75" customHeight="1">
      <c r="A69" s="1903" t="s">
        <v>1450</v>
      </c>
      <c r="B69" s="1813">
        <v>4</v>
      </c>
      <c r="C69" s="1651"/>
      <c r="D69" s="1618" t="str">
        <f>IF(OR(Ts!L19=2,Ts!L19=3),"Chi phí thẩm tra báo cáo nghiên cứu khả thi","")</f>
        <v>Chi phí thẩm tra báo cáo nghiên cứu khả thi</v>
      </c>
      <c r="E69" s="1681" t="str">
        <f>IF(baocao_&lt;&gt;3,"Nt*(CPXDtt+CPTBtt)","Chọn lại loại báo cáo")</f>
        <v>Nt*(CPXDtt+CPTBtt)</v>
      </c>
      <c r="F69" s="1649"/>
      <c r="G69" s="1650"/>
      <c r="H69" s="1651"/>
      <c r="I69" s="1814">
        <f>PRODUCT(E70:E71)*10^9</f>
        <v>0</v>
      </c>
      <c r="J69" s="1814">
        <f t="shared" si="1"/>
        <v>0</v>
      </c>
      <c r="K69" s="1650">
        <f t="shared" si="2"/>
        <v>0</v>
      </c>
      <c r="L69" s="1651"/>
      <c r="M69" s="1683" t="s">
        <v>1240</v>
      </c>
      <c r="N69" s="1412"/>
      <c r="P69"/>
      <c r="Q69"/>
      <c r="R69"/>
      <c r="S69"/>
      <c r="T69"/>
      <c r="U69"/>
      <c r="V69"/>
      <c r="W69"/>
      <c r="X69"/>
      <c r="Y69"/>
      <c r="Z69"/>
      <c r="AA69"/>
    </row>
    <row r="70" spans="1:27" s="1582" customFormat="1" ht="18.75" customHeight="1">
      <c r="B70" s="1809"/>
      <c r="C70" s="1744"/>
      <c r="D70" s="1657" t="s">
        <v>1472</v>
      </c>
      <c r="E70" s="1826">
        <f>(CPXDtt+CPTBtt)/10^9</f>
        <v>0</v>
      </c>
      <c r="F70" s="1810"/>
      <c r="G70" s="1750"/>
      <c r="H70" s="1744"/>
      <c r="I70" s="1811"/>
      <c r="J70" s="1811"/>
      <c r="K70" s="1750"/>
      <c r="L70" s="1744"/>
      <c r="M70" s="1751"/>
      <c r="N70" s="1583"/>
      <c r="O70" s="1584"/>
    </row>
    <row r="71" spans="1:27" ht="18.75" customHeight="1">
      <c r="A71"/>
      <c r="B71" s="1813"/>
      <c r="C71" s="1651"/>
      <c r="D71" s="1617" t="s">
        <v>1429</v>
      </c>
      <c r="E71" s="1849">
        <f>NoiSuy1(DMTL!$B$230:$O$235,1,E70,LCT)%</f>
        <v>2.8100000000000004E-3</v>
      </c>
      <c r="F71" s="1649"/>
      <c r="G71" s="1650"/>
      <c r="H71" s="1651"/>
      <c r="I71" s="1814"/>
      <c r="J71" s="1814"/>
      <c r="K71" s="1650"/>
      <c r="L71" s="1651"/>
      <c r="M71" s="1683"/>
      <c r="N71" s="1412"/>
      <c r="P71"/>
      <c r="Q71"/>
      <c r="R71"/>
      <c r="S71"/>
      <c r="T71"/>
      <c r="U71"/>
      <c r="V71"/>
      <c r="W71"/>
      <c r="X71"/>
      <c r="Y71"/>
      <c r="Z71"/>
      <c r="AA71"/>
    </row>
    <row r="72" spans="1:27" s="1605" customFormat="1" ht="18.75" customHeight="1">
      <c r="B72" s="1813"/>
      <c r="C72" s="1651"/>
      <c r="D72" s="1617" t="s">
        <v>67</v>
      </c>
      <c r="E72" s="1845" t="str">
        <f>IF(LCT=1,"CT dân dụng",IF(LCT=2,"CT công nghiệp",IF(LCT=3,"CT giao thông",IF(LCT=4,"CT NN &amp; PTNT",IF(LCT=5,"CT HTKT")))))</f>
        <v>CT công nghiệp</v>
      </c>
      <c r="F72" s="1649"/>
      <c r="G72" s="1650"/>
      <c r="H72" s="1651"/>
      <c r="I72" s="1814"/>
      <c r="J72" s="1814"/>
      <c r="K72" s="1650"/>
      <c r="L72" s="1755"/>
      <c r="M72" s="1756"/>
      <c r="N72" s="1606"/>
      <c r="O72" s="1607"/>
    </row>
    <row r="73" spans="1:27" ht="47.25">
      <c r="A73" s="1903" t="s">
        <v>1451</v>
      </c>
      <c r="B73" s="1813">
        <v>5</v>
      </c>
      <c r="C73" s="1651"/>
      <c r="D73" s="1618" t="str">
        <f>IF(Ts!L19=3,"Chi phí thiết kế kỹ thuật",IF(Ts!L19=2,"Chi phí thiết kế bản vẽ thi công",""))</f>
        <v>Chi phí thiết kế kỹ thuật</v>
      </c>
      <c r="E73" s="1681" t="str">
        <f>IF(BTK&lt;3,"Thiết kế 3 bước mới có khoản mục chi phí này","Nt*CPXDtt*k")</f>
        <v>Nt*CPXDtt*k</v>
      </c>
      <c r="F73" s="1649"/>
      <c r="G73" s="1650"/>
      <c r="H73" s="1651"/>
      <c r="I73" s="1814">
        <f>PRODUCT(E74:E76)*10^9</f>
        <v>0</v>
      </c>
      <c r="J73" s="1814">
        <f t="shared" si="1"/>
        <v>0</v>
      </c>
      <c r="K73" s="1650">
        <f t="shared" si="2"/>
        <v>0</v>
      </c>
      <c r="L73" s="1651"/>
      <c r="M73" s="1683" t="s">
        <v>1239</v>
      </c>
      <c r="N73" s="1412"/>
      <c r="P73"/>
      <c r="Q73"/>
      <c r="R73"/>
      <c r="S73"/>
      <c r="T73"/>
      <c r="U73"/>
      <c r="V73"/>
      <c r="W73"/>
      <c r="X73"/>
      <c r="Y73"/>
      <c r="Z73"/>
      <c r="AA73"/>
    </row>
    <row r="74" spans="1:27" s="1582" customFormat="1" ht="18.75" customHeight="1">
      <c r="B74" s="1809"/>
      <c r="C74" s="1744"/>
      <c r="D74" s="1657" t="s">
        <v>1473</v>
      </c>
      <c r="E74" s="1826">
        <f>CPXDtt/10^9</f>
        <v>0</v>
      </c>
      <c r="F74" s="1810"/>
      <c r="G74" s="1750"/>
      <c r="H74" s="1744"/>
      <c r="I74" s="1811"/>
      <c r="J74" s="1811"/>
      <c r="K74" s="1750"/>
      <c r="L74" s="1744"/>
      <c r="M74" s="1751"/>
      <c r="N74" s="1583"/>
      <c r="O74" s="1584"/>
    </row>
    <row r="75" spans="1:27" ht="18.75" customHeight="1">
      <c r="A75"/>
      <c r="B75" s="1813"/>
      <c r="C75" s="1651"/>
      <c r="D75" s="1617" t="s">
        <v>1429</v>
      </c>
      <c r="E75" s="1849">
        <f>NoiSuy1(DMTL!$B$87:$N$92,1,E74,CCT)%</f>
        <v>2.0299999999999999E-2</v>
      </c>
      <c r="F75" s="1649"/>
      <c r="G75" s="1650"/>
      <c r="H75" s="1651"/>
      <c r="I75" s="1814"/>
      <c r="J75" s="1814"/>
      <c r="K75" s="1650"/>
      <c r="L75" s="1651"/>
      <c r="M75" s="1683"/>
      <c r="N75" s="1412"/>
      <c r="P75"/>
      <c r="Q75"/>
      <c r="R75"/>
      <c r="S75"/>
      <c r="T75"/>
      <c r="U75"/>
      <c r="V75"/>
      <c r="W75"/>
      <c r="X75"/>
      <c r="Y75"/>
      <c r="Z75"/>
      <c r="AA75"/>
    </row>
    <row r="76" spans="1:27" ht="18.75" customHeight="1">
      <c r="A76"/>
      <c r="B76" s="1813"/>
      <c r="C76" s="1651"/>
      <c r="D76" s="1617" t="s">
        <v>1515</v>
      </c>
      <c r="E76" s="1816"/>
      <c r="F76" s="1649"/>
      <c r="G76" s="1650"/>
      <c r="H76" s="1651"/>
      <c r="I76" s="1814"/>
      <c r="J76" s="1814"/>
      <c r="K76" s="1650"/>
      <c r="L76" s="1651"/>
      <c r="M76" s="1683"/>
      <c r="N76" s="1412"/>
      <c r="P76"/>
      <c r="Q76"/>
      <c r="R76"/>
      <c r="S76"/>
      <c r="T76"/>
      <c r="U76"/>
      <c r="V76"/>
      <c r="W76"/>
      <c r="X76"/>
      <c r="Y76"/>
      <c r="Z76"/>
      <c r="AA76"/>
    </row>
    <row r="77" spans="1:27" s="1605" customFormat="1" ht="18.75" customHeight="1">
      <c r="B77" s="1813"/>
      <c r="C77" s="1651"/>
      <c r="D77" s="1617" t="s">
        <v>67</v>
      </c>
      <c r="E77" s="1845" t="str">
        <f>IF(LCT=1,"CT dân dụng",IF(LCT=2,"CT công nghiệp",IF(LCT=3,"CT giao thông",IF(LCT=4,"CT NN &amp; PTNT",IF(LCT=5,"CT HTKT")))))</f>
        <v>CT công nghiệp</v>
      </c>
      <c r="F77" s="1649"/>
      <c r="G77" s="1650"/>
      <c r="H77" s="1651"/>
      <c r="I77" s="1814"/>
      <c r="J77" s="1814"/>
      <c r="K77" s="1650"/>
      <c r="L77" s="1755"/>
      <c r="M77" s="1756"/>
      <c r="N77" s="1606"/>
      <c r="O77" s="1607"/>
    </row>
    <row r="78" spans="1:27" ht="18.75" customHeight="1">
      <c r="A78"/>
      <c r="B78" s="1813"/>
      <c r="C78" s="1651"/>
      <c r="D78" s="1617" t="s">
        <v>81</v>
      </c>
      <c r="E78" s="1851" t="str">
        <f>IF(CCT=1,"cấp đặc biệt",IF(CCT=2,"Cấp I",IF(CCT=3,"Cấp II",IF(CCT=4,"Cấp III",IF(CCT=5,"Cấp IV")))))</f>
        <v>Cấp II</v>
      </c>
      <c r="F78" s="1649"/>
      <c r="G78" s="1650"/>
      <c r="H78" s="1651"/>
      <c r="I78" s="1814"/>
      <c r="J78" s="1814"/>
      <c r="K78" s="1650"/>
      <c r="L78" s="1651"/>
      <c r="M78" s="1683"/>
      <c r="N78" s="1412"/>
      <c r="P78"/>
      <c r="Q78"/>
      <c r="R78"/>
      <c r="S78"/>
      <c r="T78"/>
      <c r="U78"/>
      <c r="V78"/>
      <c r="W78"/>
      <c r="X78"/>
      <c r="Y78"/>
      <c r="Z78"/>
      <c r="AA78"/>
    </row>
    <row r="79" spans="1:27" ht="47.25">
      <c r="A79" s="1903" t="s">
        <v>1452</v>
      </c>
      <c r="B79" s="1813">
        <v>6</v>
      </c>
      <c r="C79" s="1651"/>
      <c r="D79" s="1618" t="str">
        <f>IF(BTK=3,"Chi phí thiết kế bản vẽ thi công","")</f>
        <v>Chi phí thiết kế bản vẽ thi công</v>
      </c>
      <c r="E79" s="1681" t="s">
        <v>1486</v>
      </c>
      <c r="F79" s="1649"/>
      <c r="G79" s="1650"/>
      <c r="H79" s="1651"/>
      <c r="I79" s="1814">
        <f>PRODUCT(E80:E82)*10^9*60%</f>
        <v>0</v>
      </c>
      <c r="J79" s="1814">
        <f t="shared" si="1"/>
        <v>0</v>
      </c>
      <c r="K79" s="1650">
        <f t="shared" si="2"/>
        <v>0</v>
      </c>
      <c r="L79" s="1651"/>
      <c r="M79" s="1683" t="s">
        <v>1239</v>
      </c>
      <c r="N79" s="1412"/>
      <c r="P79"/>
      <c r="Q79"/>
      <c r="R79"/>
      <c r="S79"/>
      <c r="T79"/>
      <c r="U79"/>
      <c r="V79"/>
      <c r="W79"/>
      <c r="X79"/>
      <c r="Y79"/>
      <c r="Z79"/>
      <c r="AA79"/>
    </row>
    <row r="80" spans="1:27" ht="18.75" customHeight="1">
      <c r="A80"/>
      <c r="B80" s="1813"/>
      <c r="C80" s="1651"/>
      <c r="D80" s="1657" t="s">
        <v>1473</v>
      </c>
      <c r="E80" s="1657">
        <f>CPXDtt/10^9</f>
        <v>0</v>
      </c>
      <c r="F80" s="1649"/>
      <c r="G80" s="1650"/>
      <c r="H80" s="1651"/>
      <c r="I80" s="1814"/>
      <c r="J80" s="1814"/>
      <c r="K80" s="1650"/>
      <c r="L80" s="1651"/>
      <c r="M80" s="1683"/>
      <c r="N80" s="1412"/>
      <c r="P80"/>
      <c r="Q80"/>
      <c r="R80"/>
      <c r="S80"/>
      <c r="T80"/>
      <c r="U80"/>
      <c r="V80"/>
      <c r="W80"/>
      <c r="X80"/>
      <c r="Y80"/>
      <c r="Z80"/>
      <c r="AA80"/>
    </row>
    <row r="81" spans="1:27" ht="18.75" customHeight="1">
      <c r="A81"/>
      <c r="B81" s="1813"/>
      <c r="C81" s="1651"/>
      <c r="D81" s="1617" t="s">
        <v>1429</v>
      </c>
      <c r="E81" s="1849">
        <f>NoiSuy1(DMTL!$B$87:$N$92,1,E80,CCT)%</f>
        <v>2.0299999999999999E-2</v>
      </c>
      <c r="F81" s="1649"/>
      <c r="G81" s="1650"/>
      <c r="H81" s="1651"/>
      <c r="I81" s="1814"/>
      <c r="J81" s="1814"/>
      <c r="K81" s="1650"/>
      <c r="L81" s="1651"/>
      <c r="M81" s="1683"/>
      <c r="N81" s="1412"/>
      <c r="P81"/>
      <c r="Q81"/>
      <c r="R81"/>
      <c r="S81"/>
      <c r="T81"/>
      <c r="U81"/>
      <c r="V81"/>
      <c r="W81"/>
      <c r="X81"/>
      <c r="Y81"/>
      <c r="Z81"/>
      <c r="AA81"/>
    </row>
    <row r="82" spans="1:27" ht="18.75" customHeight="1">
      <c r="A82"/>
      <c r="B82" s="1813"/>
      <c r="C82" s="1651"/>
      <c r="D82" s="1617" t="s">
        <v>1515</v>
      </c>
      <c r="E82" s="1816"/>
      <c r="F82" s="1649"/>
      <c r="G82" s="1650"/>
      <c r="H82" s="1651"/>
      <c r="I82" s="1814"/>
      <c r="J82" s="1814"/>
      <c r="K82" s="1650"/>
      <c r="L82" s="1651"/>
      <c r="M82" s="1683"/>
      <c r="N82" s="1412"/>
      <c r="P82"/>
      <c r="Q82"/>
      <c r="R82"/>
      <c r="S82"/>
      <c r="T82"/>
      <c r="U82"/>
      <c r="V82"/>
      <c r="W82"/>
      <c r="X82"/>
      <c r="Y82"/>
      <c r="Z82"/>
      <c r="AA82"/>
    </row>
    <row r="83" spans="1:27" s="1605" customFormat="1" ht="18.75" customHeight="1">
      <c r="B83" s="1813"/>
      <c r="C83" s="1651"/>
      <c r="D83" s="1617" t="s">
        <v>67</v>
      </c>
      <c r="E83" s="1845" t="str">
        <f>IF(LCT=1,"CT dân dụng",IF(LCT=2,"CT công nghiệp",IF(LCT=3,"CT giao thông",IF(LCT=4,"CT NN &amp; PTNT",IF(LCT=5,"CT HTKT")))))</f>
        <v>CT công nghiệp</v>
      </c>
      <c r="F83" s="1649"/>
      <c r="G83" s="1650"/>
      <c r="H83" s="1651"/>
      <c r="I83" s="1814"/>
      <c r="J83" s="1814"/>
      <c r="K83" s="1650"/>
      <c r="L83" s="1755"/>
      <c r="M83" s="1756"/>
      <c r="N83" s="1606"/>
      <c r="O83" s="1607"/>
    </row>
    <row r="84" spans="1:27" ht="18.75" customHeight="1">
      <c r="A84"/>
      <c r="B84" s="1813"/>
      <c r="C84" s="1651"/>
      <c r="D84" s="1617" t="s">
        <v>81</v>
      </c>
      <c r="E84" s="1851" t="str">
        <f>IF(CCT=1,"cấp đặc biệt",IF(CCT=2,"Cấp I",IF(CCT=3,"Cấp II",IF(CCT=4,"Cấp III",IF(CCT=5,"Cấp IV")))))</f>
        <v>Cấp II</v>
      </c>
      <c r="F84" s="1649"/>
      <c r="G84" s="1650"/>
      <c r="H84" s="1651"/>
      <c r="I84" s="1814"/>
      <c r="J84" s="1814"/>
      <c r="K84" s="1650"/>
      <c r="L84" s="1651"/>
      <c r="M84" s="1683"/>
      <c r="N84" s="1412"/>
      <c r="P84"/>
      <c r="Q84"/>
      <c r="R84"/>
      <c r="S84"/>
      <c r="T84"/>
      <c r="U84"/>
      <c r="V84"/>
      <c r="W84"/>
      <c r="X84"/>
      <c r="Y84"/>
      <c r="Z84"/>
      <c r="AA84"/>
    </row>
    <row r="85" spans="1:27" ht="18.75" customHeight="1">
      <c r="A85" s="1903" t="s">
        <v>1452</v>
      </c>
      <c r="B85" s="1813">
        <v>7</v>
      </c>
      <c r="C85" s="1651"/>
      <c r="D85" s="1758" t="s">
        <v>1238</v>
      </c>
      <c r="E85" s="1681" t="s">
        <v>1487</v>
      </c>
      <c r="F85" s="1649"/>
      <c r="G85" s="1650"/>
      <c r="H85" s="1651"/>
      <c r="I85" s="1814">
        <f>PRODUCT(E86:E88)*10^9</f>
        <v>0</v>
      </c>
      <c r="J85" s="1814">
        <f t="shared" si="1"/>
        <v>0</v>
      </c>
      <c r="K85" s="1650">
        <f t="shared" si="2"/>
        <v>0</v>
      </c>
      <c r="L85" s="1651"/>
      <c r="M85" s="1683" t="s">
        <v>1237</v>
      </c>
      <c r="N85" s="1412"/>
      <c r="P85"/>
      <c r="Q85"/>
      <c r="R85"/>
      <c r="S85"/>
      <c r="T85"/>
      <c r="U85"/>
      <c r="V85"/>
      <c r="W85"/>
      <c r="X85"/>
      <c r="Y85"/>
      <c r="Z85"/>
      <c r="AA85"/>
    </row>
    <row r="86" spans="1:27" s="1582" customFormat="1" ht="31.5">
      <c r="B86" s="1809"/>
      <c r="C86" s="1744"/>
      <c r="D86" s="1657" t="s">
        <v>1474</v>
      </c>
      <c r="E86" s="1826">
        <f>CPXDtt/10^9</f>
        <v>0</v>
      </c>
      <c r="F86" s="1810"/>
      <c r="G86" s="1750"/>
      <c r="H86" s="1744"/>
      <c r="I86" s="1811"/>
      <c r="J86" s="1811"/>
      <c r="K86" s="1750"/>
      <c r="L86" s="1744"/>
      <c r="M86" s="1751"/>
      <c r="N86" s="1583"/>
      <c r="O86" s="1584"/>
    </row>
    <row r="87" spans="1:27" ht="18.75" customHeight="1">
      <c r="A87"/>
      <c r="B87" s="1813"/>
      <c r="C87" s="1651"/>
      <c r="D87" s="1617" t="s">
        <v>1429</v>
      </c>
      <c r="E87" s="1849">
        <f>NoiSuy1(DMTL!$B$240:$N$245,1,E86,LCT)%</f>
        <v>2.8999999999999998E-3</v>
      </c>
      <c r="F87" s="1649"/>
      <c r="G87" s="1650"/>
      <c r="H87" s="1651"/>
      <c r="I87" s="1814"/>
      <c r="J87" s="1814"/>
      <c r="K87" s="1650"/>
      <c r="L87" s="1651"/>
      <c r="M87" s="1683"/>
      <c r="N87" s="1412"/>
      <c r="P87"/>
      <c r="Q87"/>
      <c r="R87"/>
      <c r="S87"/>
      <c r="T87"/>
      <c r="U87"/>
      <c r="V87"/>
      <c r="W87"/>
      <c r="X87"/>
      <c r="Y87"/>
      <c r="Z87"/>
      <c r="AA87"/>
    </row>
    <row r="88" spans="1:27" ht="18.75" customHeight="1">
      <c r="A88"/>
      <c r="B88" s="1813"/>
      <c r="C88" s="1651"/>
      <c r="D88" s="1617" t="s">
        <v>1515</v>
      </c>
      <c r="E88" s="1816"/>
      <c r="F88" s="1649"/>
      <c r="G88" s="1650"/>
      <c r="H88" s="1651"/>
      <c r="I88" s="1814"/>
      <c r="J88" s="1814"/>
      <c r="K88" s="1650"/>
      <c r="L88" s="1651"/>
      <c r="M88" s="1683"/>
      <c r="N88" s="1412"/>
      <c r="P88"/>
      <c r="Q88"/>
      <c r="R88"/>
      <c r="S88"/>
      <c r="T88"/>
      <c r="U88"/>
      <c r="V88"/>
      <c r="W88"/>
      <c r="X88"/>
      <c r="Y88"/>
      <c r="Z88"/>
      <c r="AA88"/>
    </row>
    <row r="89" spans="1:27" s="1605" customFormat="1" ht="18.75" customHeight="1">
      <c r="B89" s="1813"/>
      <c r="C89" s="1651"/>
      <c r="D89" s="1617" t="s">
        <v>67</v>
      </c>
      <c r="E89" s="1845" t="str">
        <f>IF(LCT=1,"CT dân dụng",IF(LCT=2,"CT công nghiệp",IF(LCT=3,"CT giao thông",IF(LCT=4,"CT NN &amp; PTNT",IF(LCT=5,"CT HTKT")))))</f>
        <v>CT công nghiệp</v>
      </c>
      <c r="F89" s="1649"/>
      <c r="G89" s="1650"/>
      <c r="H89" s="1651"/>
      <c r="I89" s="1814"/>
      <c r="J89" s="1814"/>
      <c r="K89" s="1650"/>
      <c r="L89" s="1755"/>
      <c r="M89" s="1756"/>
      <c r="N89" s="1606"/>
      <c r="O89" s="1607"/>
    </row>
    <row r="90" spans="1:27" ht="18.75" customHeight="1">
      <c r="A90" s="1903" t="s">
        <v>1453</v>
      </c>
      <c r="B90" s="1813">
        <v>8</v>
      </c>
      <c r="C90" s="1651"/>
      <c r="D90" s="1758" t="s">
        <v>1236</v>
      </c>
      <c r="E90" s="1681" t="s">
        <v>1487</v>
      </c>
      <c r="F90" s="1649"/>
      <c r="G90" s="1650"/>
      <c r="H90" s="1651"/>
      <c r="I90" s="1814">
        <f>PRODUCT(E91:E93)*10^9</f>
        <v>0</v>
      </c>
      <c r="J90" s="1814">
        <f t="shared" si="1"/>
        <v>0</v>
      </c>
      <c r="K90" s="1650">
        <f t="shared" si="2"/>
        <v>0</v>
      </c>
      <c r="L90" s="1651"/>
      <c r="M90" s="1683" t="s">
        <v>1235</v>
      </c>
      <c r="N90" s="1412"/>
      <c r="P90"/>
      <c r="Q90"/>
      <c r="R90"/>
      <c r="S90"/>
      <c r="T90"/>
      <c r="U90"/>
      <c r="V90"/>
      <c r="W90"/>
      <c r="X90"/>
      <c r="Y90"/>
      <c r="Z90"/>
      <c r="AA90"/>
    </row>
    <row r="91" spans="1:27" s="1582" customFormat="1" ht="31.5">
      <c r="B91" s="1809"/>
      <c r="C91" s="1744"/>
      <c r="D91" s="1657" t="s">
        <v>1474</v>
      </c>
      <c r="E91" s="1826">
        <f>CPXDtt/10^9</f>
        <v>0</v>
      </c>
      <c r="F91" s="1810"/>
      <c r="G91" s="1750"/>
      <c r="H91" s="1744"/>
      <c r="I91" s="1811"/>
      <c r="J91" s="1811"/>
      <c r="K91" s="1750"/>
      <c r="L91" s="1744"/>
      <c r="M91" s="1751"/>
      <c r="N91" s="1583"/>
      <c r="O91" s="1584"/>
    </row>
    <row r="92" spans="1:27" ht="18.75" customHeight="1">
      <c r="A92"/>
      <c r="B92" s="1813"/>
      <c r="C92" s="1651"/>
      <c r="D92" s="1617" t="s">
        <v>1429</v>
      </c>
      <c r="E92" s="1849">
        <f>NoiSuy1(DMTL!$B$250:$N$255,1,E91,LCT)%</f>
        <v>2.8199999999999996E-3</v>
      </c>
      <c r="F92" s="1649"/>
      <c r="G92" s="1650"/>
      <c r="H92" s="1651"/>
      <c r="I92" s="1814"/>
      <c r="J92" s="1814"/>
      <c r="K92" s="1650"/>
      <c r="L92" s="1651"/>
      <c r="M92" s="1683"/>
      <c r="N92" s="1412"/>
      <c r="P92"/>
      <c r="Q92"/>
      <c r="R92"/>
      <c r="S92"/>
      <c r="T92"/>
      <c r="U92"/>
      <c r="V92"/>
      <c r="W92"/>
      <c r="X92"/>
      <c r="Y92"/>
      <c r="Z92"/>
      <c r="AA92"/>
    </row>
    <row r="93" spans="1:27" ht="18.75" customHeight="1">
      <c r="A93">
        <v>1</v>
      </c>
      <c r="B93" s="1813"/>
      <c r="C93" s="1651"/>
      <c r="D93" s="1617" t="s">
        <v>1515</v>
      </c>
      <c r="E93" s="1816"/>
      <c r="F93" s="1649"/>
      <c r="G93" s="1650"/>
      <c r="H93" s="1651"/>
      <c r="I93" s="1814"/>
      <c r="J93" s="1814"/>
      <c r="K93" s="1650"/>
      <c r="L93" s="1651"/>
      <c r="M93" s="1683"/>
      <c r="N93" s="1412"/>
      <c r="P93"/>
      <c r="Q93"/>
      <c r="R93"/>
      <c r="S93"/>
      <c r="T93"/>
      <c r="U93"/>
      <c r="V93"/>
      <c r="W93"/>
      <c r="X93"/>
      <c r="Y93"/>
      <c r="Z93"/>
      <c r="AA93"/>
    </row>
    <row r="94" spans="1:27" s="1605" customFormat="1" ht="18.75" customHeight="1">
      <c r="B94" s="1813"/>
      <c r="C94" s="1651"/>
      <c r="D94" s="1617" t="s">
        <v>67</v>
      </c>
      <c r="E94" s="1845" t="str">
        <f>IF(LCT=1,"CT dân dụng",IF(LCT=2,"CT công nghiệp",IF(LCT=3,"CT giao thông",IF(LCT=4,"CT NN &amp; PTNT",IF(LCT=5,"CT HTKT")))))</f>
        <v>CT công nghiệp</v>
      </c>
      <c r="F94" s="1649"/>
      <c r="G94" s="1650"/>
      <c r="H94" s="1651"/>
      <c r="I94" s="1814"/>
      <c r="J94" s="1814"/>
      <c r="K94" s="1650"/>
      <c r="L94" s="1755"/>
      <c r="M94" s="1756"/>
      <c r="N94" s="1606"/>
      <c r="O94" s="1607"/>
    </row>
    <row r="95" spans="1:27" ht="18.75" customHeight="1">
      <c r="A95" s="1903" t="s">
        <v>1453</v>
      </c>
      <c r="B95" s="1813">
        <v>9</v>
      </c>
      <c r="C95" s="1651"/>
      <c r="D95" s="1758" t="s">
        <v>1234</v>
      </c>
      <c r="E95" s="1815"/>
      <c r="F95" s="1649"/>
      <c r="G95" s="1650"/>
      <c r="H95" s="1651"/>
      <c r="I95" s="1814"/>
      <c r="J95" s="1814">
        <f t="shared" si="1"/>
        <v>0</v>
      </c>
      <c r="K95" s="1650"/>
      <c r="L95" s="1651"/>
      <c r="M95" s="1683" t="s">
        <v>1233</v>
      </c>
      <c r="N95" s="1412"/>
      <c r="P95"/>
      <c r="Q95"/>
      <c r="R95"/>
      <c r="S95"/>
      <c r="T95"/>
      <c r="U95"/>
      <c r="V95"/>
      <c r="W95"/>
      <c r="X95"/>
      <c r="Y95"/>
      <c r="Z95"/>
      <c r="AA95"/>
    </row>
    <row r="96" spans="1:27" ht="18.75" customHeight="1">
      <c r="A96" s="1903" t="s">
        <v>1454</v>
      </c>
      <c r="B96" s="1813">
        <v>10</v>
      </c>
      <c r="C96" s="1651"/>
      <c r="D96" s="1758" t="s">
        <v>1232</v>
      </c>
      <c r="E96" s="1681" t="str">
        <f>IF(E100=0,"Nt*GXDtt","Nt*GXDtt*k")</f>
        <v>Nt*GXDtt*k</v>
      </c>
      <c r="F96" s="1649"/>
      <c r="G96" s="1650"/>
      <c r="H96" s="1651"/>
      <c r="I96" s="1814">
        <f>PRODUCT(E97:E99)*10^9</f>
        <v>0</v>
      </c>
      <c r="J96" s="1814">
        <f t="shared" si="1"/>
        <v>0</v>
      </c>
      <c r="K96" s="1650">
        <f>I96*1.1</f>
        <v>0</v>
      </c>
      <c r="L96" s="1651"/>
      <c r="M96" s="1683" t="s">
        <v>1231</v>
      </c>
      <c r="N96" s="1412"/>
      <c r="P96"/>
      <c r="Q96"/>
      <c r="R96"/>
      <c r="S96"/>
      <c r="T96"/>
      <c r="U96"/>
      <c r="V96"/>
      <c r="W96"/>
      <c r="X96"/>
      <c r="Y96"/>
      <c r="Z96"/>
      <c r="AA96"/>
    </row>
    <row r="97" spans="1:28" s="1582" customFormat="1" ht="31.5">
      <c r="B97" s="1809"/>
      <c r="C97" s="1744"/>
      <c r="D97" s="1759" t="s">
        <v>1475</v>
      </c>
      <c r="E97" s="1826">
        <f>CPXDtt/10^9</f>
        <v>0</v>
      </c>
      <c r="F97" s="1810"/>
      <c r="G97" s="1750"/>
      <c r="H97" s="1744"/>
      <c r="I97" s="1811"/>
      <c r="J97" s="1811"/>
      <c r="K97" s="1750"/>
      <c r="L97" s="1744"/>
      <c r="M97" s="1751"/>
      <c r="N97" s="1583"/>
      <c r="O97" s="1584"/>
    </row>
    <row r="98" spans="1:28" ht="18.75" customHeight="1">
      <c r="A98"/>
      <c r="B98" s="1813"/>
      <c r="C98" s="1651"/>
      <c r="D98" s="1617" t="s">
        <v>1429</v>
      </c>
      <c r="E98" s="1849">
        <f>NoiSuy1(DMTL!$B$286:$N$291,1,E97,LCT)%</f>
        <v>3.508E-2</v>
      </c>
      <c r="F98" s="1649"/>
      <c r="G98" s="1650"/>
      <c r="H98" s="1651"/>
      <c r="I98" s="1814"/>
      <c r="J98" s="1814"/>
      <c r="K98" s="1650"/>
      <c r="L98" s="1651"/>
      <c r="M98" s="1683"/>
      <c r="N98" s="1412"/>
      <c r="P98"/>
      <c r="Q98"/>
      <c r="R98"/>
      <c r="S98"/>
      <c r="T98"/>
      <c r="U98"/>
      <c r="V98"/>
      <c r="W98"/>
      <c r="X98"/>
      <c r="Y98"/>
      <c r="Z98"/>
      <c r="AA98"/>
    </row>
    <row r="99" spans="1:28" ht="18.75" customHeight="1">
      <c r="A99"/>
      <c r="B99" s="1813"/>
      <c r="C99" s="1651"/>
      <c r="D99" s="1617" t="s">
        <v>1515</v>
      </c>
      <c r="E99" s="1816"/>
      <c r="F99" s="1649"/>
      <c r="G99" s="1650"/>
      <c r="H99" s="1651"/>
      <c r="I99" s="1814"/>
      <c r="J99" s="1814"/>
      <c r="K99" s="1650"/>
      <c r="L99" s="1651"/>
      <c r="M99" s="1683"/>
      <c r="N99" s="1412"/>
      <c r="P99"/>
      <c r="Q99"/>
      <c r="R99"/>
      <c r="S99"/>
      <c r="T99"/>
      <c r="U99"/>
      <c r="V99"/>
      <c r="W99"/>
      <c r="X99"/>
      <c r="Y99"/>
      <c r="Z99"/>
      <c r="AA99"/>
    </row>
    <row r="100" spans="1:28" s="1605" customFormat="1" ht="18.75" customHeight="1">
      <c r="B100" s="1813"/>
      <c r="C100" s="1651"/>
      <c r="D100" s="1617" t="s">
        <v>67</v>
      </c>
      <c r="E100" s="1845" t="str">
        <f>IF(LCT=1,"CT dân dụng",IF(LCT=2,"CT công nghiệp",IF(LCT=3,"CT giao thông",IF(LCT=4,"CT NN &amp; PTNT",IF(LCT=5,"CT HTKT")))))</f>
        <v>CT công nghiệp</v>
      </c>
      <c r="F100" s="1649"/>
      <c r="G100" s="1650"/>
      <c r="H100" s="1651"/>
      <c r="I100" s="1814"/>
      <c r="J100" s="1814"/>
      <c r="K100" s="1650"/>
      <c r="L100" s="1755"/>
      <c r="M100" s="1756"/>
      <c r="N100" s="1606"/>
      <c r="O100" s="1607"/>
    </row>
    <row r="101" spans="1:28" ht="18.75" customHeight="1">
      <c r="A101" s="1903" t="s">
        <v>1455</v>
      </c>
      <c r="B101" s="1813">
        <v>11</v>
      </c>
      <c r="C101" s="1651"/>
      <c r="D101" s="1758" t="s">
        <v>1230</v>
      </c>
      <c r="E101" s="1681" t="s">
        <v>1217</v>
      </c>
      <c r="F101" s="1649"/>
      <c r="G101" s="1650"/>
      <c r="H101" s="1651"/>
      <c r="I101" s="1814">
        <f>PRODUCT(E102:E103)*10^9</f>
        <v>0</v>
      </c>
      <c r="J101" s="1814">
        <f t="shared" si="1"/>
        <v>0</v>
      </c>
      <c r="K101" s="1650">
        <f>I101*1.1</f>
        <v>0</v>
      </c>
      <c r="L101" s="1651"/>
      <c r="M101" s="1683" t="s">
        <v>1229</v>
      </c>
      <c r="N101" s="1412"/>
      <c r="P101"/>
      <c r="Q101"/>
      <c r="R101"/>
      <c r="S101"/>
      <c r="T101"/>
      <c r="U101"/>
      <c r="V101"/>
      <c r="W101"/>
      <c r="X101"/>
      <c r="Y101"/>
      <c r="Z101"/>
      <c r="AA101"/>
    </row>
    <row r="102" spans="1:28" s="1582" customFormat="1" ht="34.9" customHeight="1">
      <c r="B102" s="1809"/>
      <c r="C102" s="1744"/>
      <c r="D102" s="1760" t="s">
        <v>1476</v>
      </c>
      <c r="E102" s="1826">
        <f>TMDTTT</f>
        <v>0</v>
      </c>
      <c r="F102" s="1810"/>
      <c r="G102" s="1750"/>
      <c r="H102" s="1744"/>
      <c r="I102" s="1811"/>
      <c r="J102" s="1811"/>
      <c r="K102" s="1750"/>
      <c r="L102" s="1744"/>
      <c r="M102" s="1751"/>
      <c r="N102" s="1583"/>
      <c r="O102" s="1584"/>
    </row>
    <row r="103" spans="1:28" ht="18.75" customHeight="1">
      <c r="A103"/>
      <c r="B103" s="1813"/>
      <c r="C103" s="1651"/>
      <c r="D103" s="1617" t="s">
        <v>1429</v>
      </c>
      <c r="E103" s="1849">
        <f>NoiSuy1(DMTL!$B$312:$J$313,2,E102,1)%</f>
        <v>1.09E-3</v>
      </c>
      <c r="F103" s="1649"/>
      <c r="G103" s="1650"/>
      <c r="H103" s="1651"/>
      <c r="I103" s="1814"/>
      <c r="J103" s="1814"/>
      <c r="K103" s="1650"/>
      <c r="L103" s="1651"/>
      <c r="M103" s="1683"/>
      <c r="N103" s="1412"/>
      <c r="P103"/>
      <c r="Q103"/>
      <c r="R103"/>
      <c r="S103"/>
      <c r="T103"/>
      <c r="U103"/>
      <c r="V103"/>
      <c r="W103"/>
      <c r="X103"/>
      <c r="Y103"/>
      <c r="Z103"/>
      <c r="AA103"/>
    </row>
    <row r="104" spans="1:28" ht="18.75" customHeight="1">
      <c r="A104"/>
      <c r="B104" s="1817"/>
      <c r="C104" s="1818"/>
      <c r="D104" s="1819"/>
      <c r="E104" s="1820"/>
      <c r="F104" s="1821"/>
      <c r="G104" s="1822"/>
      <c r="H104" s="1818"/>
      <c r="I104" s="1823"/>
      <c r="J104" s="1823"/>
      <c r="K104" s="1822"/>
      <c r="L104" s="1818"/>
      <c r="M104" s="1824"/>
      <c r="N104" s="1412"/>
      <c r="P104"/>
      <c r="Q104"/>
      <c r="R104"/>
      <c r="S104"/>
      <c r="T104"/>
      <c r="U104"/>
      <c r="V104"/>
      <c r="W104"/>
      <c r="X104"/>
      <c r="Y104"/>
      <c r="Z104"/>
      <c r="AA104"/>
    </row>
    <row r="105" spans="1:28" ht="30" customHeight="1">
      <c r="B105" s="1634" t="s">
        <v>770</v>
      </c>
      <c r="C105" s="1635"/>
      <c r="D105" s="1636" t="s">
        <v>1315</v>
      </c>
      <c r="E105" s="1842"/>
      <c r="F105" s="1678"/>
      <c r="G105" s="1679"/>
      <c r="H105" s="1680"/>
      <c r="I105" s="1641">
        <f>I106+I126</f>
        <v>0</v>
      </c>
      <c r="J105" s="1641">
        <f>J106+J126</f>
        <v>0</v>
      </c>
      <c r="K105" s="1641">
        <f>K106+K126</f>
        <v>0</v>
      </c>
      <c r="L105" s="1642" t="s">
        <v>525</v>
      </c>
      <c r="M105" s="1643" t="s">
        <v>1228</v>
      </c>
      <c r="N105" s="1412" t="s">
        <v>1227</v>
      </c>
      <c r="AB105" s="1337"/>
    </row>
    <row r="106" spans="1:28" ht="18.75" customHeight="1">
      <c r="B106" s="1852" t="s">
        <v>97</v>
      </c>
      <c r="C106" s="1715"/>
      <c r="D106" s="1853" t="s">
        <v>1226</v>
      </c>
      <c r="E106" s="1854"/>
      <c r="F106" s="1717"/>
      <c r="G106" s="1718"/>
      <c r="H106" s="1719"/>
      <c r="I106" s="1720">
        <f>SUM(I107:I124)</f>
        <v>0</v>
      </c>
      <c r="J106" s="1720">
        <f>SUM(J107:J124)</f>
        <v>0</v>
      </c>
      <c r="K106" s="1720">
        <f>SUM(K107:K124)</f>
        <v>0</v>
      </c>
      <c r="L106" s="1761"/>
      <c r="M106" s="1762"/>
      <c r="N106" s="1412"/>
      <c r="AB106" s="1337"/>
    </row>
    <row r="107" spans="1:28" ht="18.75" customHeight="1">
      <c r="A107" s="340" t="s">
        <v>1459</v>
      </c>
      <c r="B107" s="1646">
        <v>1</v>
      </c>
      <c r="C107" s="1651"/>
      <c r="D107" s="1618" t="s">
        <v>1225</v>
      </c>
      <c r="E107" s="1655" t="str">
        <f>IF(baocao_=3,"Chọn lại loại báo cáo","ĐMTL*TMĐT")</f>
        <v>ĐMTL*TMĐT</v>
      </c>
      <c r="F107" s="1665"/>
      <c r="G107" s="1666"/>
      <c r="H107" s="1667"/>
      <c r="I107" s="1682">
        <f>PRODUCT(E108:E110)*10^9</f>
        <v>0</v>
      </c>
      <c r="J107" s="1682"/>
      <c r="K107" s="1650">
        <f>I107</f>
        <v>0</v>
      </c>
      <c r="L107" s="1651"/>
      <c r="M107" s="1588" t="s">
        <v>1224</v>
      </c>
      <c r="N107" s="1412"/>
      <c r="AB107" s="1337"/>
    </row>
    <row r="108" spans="1:28" s="1582" customFormat="1" ht="18.75" customHeight="1">
      <c r="A108" s="1904"/>
      <c r="B108" s="1743"/>
      <c r="C108" s="1744"/>
      <c r="D108" s="1617" t="s">
        <v>1477</v>
      </c>
      <c r="E108" s="1826">
        <f>TMDTTT/10^9</f>
        <v>0</v>
      </c>
      <c r="F108" s="1746"/>
      <c r="G108" s="1747"/>
      <c r="H108" s="1748"/>
      <c r="I108" s="1749"/>
      <c r="J108" s="1749"/>
      <c r="K108" s="1750"/>
      <c r="L108" s="1744"/>
      <c r="M108" s="1593"/>
      <c r="N108" s="1583"/>
      <c r="O108" s="1584"/>
      <c r="P108" s="1584"/>
      <c r="Q108" s="1584"/>
      <c r="R108" s="1584"/>
      <c r="S108" s="1584"/>
      <c r="T108" s="1584"/>
      <c r="U108" s="1584"/>
      <c r="V108" s="1584"/>
      <c r="W108" s="1584"/>
      <c r="X108" s="1584"/>
      <c r="Y108" s="1584"/>
      <c r="Z108" s="1584"/>
      <c r="AA108" s="1584"/>
      <c r="AB108" s="1584"/>
    </row>
    <row r="109" spans="1:28" ht="18.75" customHeight="1">
      <c r="B109" s="1646"/>
      <c r="C109" s="1651"/>
      <c r="D109" s="1617" t="s">
        <v>1429</v>
      </c>
      <c r="E109" s="1855">
        <f>NoiSuy1(DMTL!$B$331:$M$332,2,E108,1)%</f>
        <v>1.8999999999999998E-4</v>
      </c>
      <c r="F109" s="1665"/>
      <c r="G109" s="1666"/>
      <c r="H109" s="1667"/>
      <c r="I109" s="1682"/>
      <c r="J109" s="1682"/>
      <c r="K109" s="1650"/>
      <c r="L109" s="1651"/>
      <c r="M109" s="1588"/>
      <c r="N109" s="1412"/>
      <c r="AB109" s="1337"/>
    </row>
    <row r="110" spans="1:28" ht="18.75" customHeight="1">
      <c r="B110" s="1646"/>
      <c r="C110" s="1651"/>
      <c r="D110" s="1617" t="s">
        <v>1515</v>
      </c>
      <c r="E110" s="1763"/>
      <c r="F110" s="1665"/>
      <c r="G110" s="1666"/>
      <c r="H110" s="1667"/>
      <c r="I110" s="1682"/>
      <c r="J110" s="1682"/>
      <c r="K110" s="1650"/>
      <c r="L110" s="1651"/>
      <c r="M110" s="1588"/>
      <c r="N110" s="1412"/>
      <c r="AB110" s="1337"/>
    </row>
    <row r="111" spans="1:28" ht="27" customHeight="1">
      <c r="A111" s="340" t="s">
        <v>1460</v>
      </c>
      <c r="B111" s="1646">
        <v>2</v>
      </c>
      <c r="C111" s="1651"/>
      <c r="D111" s="1618" t="s">
        <v>1430</v>
      </c>
      <c r="E111" s="1655" t="s">
        <v>1487</v>
      </c>
      <c r="F111" s="1665"/>
      <c r="G111" s="1666"/>
      <c r="H111" s="1667"/>
      <c r="I111" s="1682">
        <f>PRODUCT(E112:E114)*10^9</f>
        <v>0</v>
      </c>
      <c r="J111" s="1682"/>
      <c r="K111" s="1650">
        <f>I111</f>
        <v>0</v>
      </c>
      <c r="L111" s="1651"/>
      <c r="M111" s="1588" t="s">
        <v>1223</v>
      </c>
      <c r="N111" s="1412"/>
      <c r="AB111" s="1337"/>
    </row>
    <row r="112" spans="1:28" s="1582" customFormat="1" ht="31.5">
      <c r="A112" s="1904"/>
      <c r="B112" s="1743"/>
      <c r="C112" s="1744"/>
      <c r="D112" s="1657" t="s">
        <v>1478</v>
      </c>
      <c r="E112" s="1826">
        <f>CPXDtt/10^9</f>
        <v>0</v>
      </c>
      <c r="F112" s="1746"/>
      <c r="G112" s="1747"/>
      <c r="H112" s="1748"/>
      <c r="I112" s="1749"/>
      <c r="J112" s="1749"/>
      <c r="K112" s="1747"/>
      <c r="L112" s="1744"/>
      <c r="M112" s="1764"/>
      <c r="N112" s="1583"/>
      <c r="O112" s="1584"/>
      <c r="P112" s="1584"/>
      <c r="Q112" s="1584"/>
      <c r="R112" s="1584"/>
      <c r="S112" s="1584"/>
      <c r="T112" s="1584"/>
      <c r="U112" s="1584"/>
      <c r="V112" s="1584"/>
      <c r="W112" s="1584"/>
      <c r="X112" s="1584"/>
      <c r="Y112" s="1584"/>
      <c r="Z112" s="1584"/>
      <c r="AA112" s="1584"/>
      <c r="AB112" s="1584"/>
    </row>
    <row r="113" spans="1:28" ht="18.75" customHeight="1">
      <c r="B113" s="1646"/>
      <c r="C113" s="1651"/>
      <c r="D113" s="1617" t="s">
        <v>1429</v>
      </c>
      <c r="E113" s="1855">
        <f>NoiSuy1(DMTL!$B$338:$L$343,2,E112,LCT)%</f>
        <v>1.9E-3</v>
      </c>
      <c r="F113" s="1665"/>
      <c r="G113" s="1666"/>
      <c r="H113" s="1667"/>
      <c r="I113" s="1682"/>
      <c r="J113" s="1682"/>
      <c r="K113" s="1666"/>
      <c r="L113" s="1651"/>
      <c r="M113" s="1653"/>
      <c r="N113" s="1412"/>
      <c r="AB113" s="1337"/>
    </row>
    <row r="114" spans="1:28" ht="18.75" customHeight="1">
      <c r="B114" s="1646"/>
      <c r="C114" s="1651"/>
      <c r="D114" s="1617" t="s">
        <v>1515</v>
      </c>
      <c r="E114" s="1757"/>
      <c r="F114" s="1665"/>
      <c r="G114" s="1666"/>
      <c r="H114" s="1667"/>
      <c r="I114" s="1682"/>
      <c r="J114" s="1682"/>
      <c r="K114" s="1666"/>
      <c r="L114" s="1651"/>
      <c r="M114" s="1653"/>
      <c r="N114" s="1412"/>
      <c r="AB114" s="1337"/>
    </row>
    <row r="115" spans="1:28" s="1605" customFormat="1" ht="18.75" customHeight="1">
      <c r="A115" s="1905"/>
      <c r="B115" s="1646"/>
      <c r="C115" s="1651"/>
      <c r="D115" s="1617" t="s">
        <v>67</v>
      </c>
      <c r="E115" s="1847" t="str">
        <f>IF(LCT=1,"CT dân dụng",IF(LCT=2,"CT công nghiệp",IF(LCT=3,"CT giao thông",IF(LCT=4,"CT NN &amp; PTNT",IF(LCT=5,"CT HTKT")))))</f>
        <v>CT công nghiệp</v>
      </c>
      <c r="F115" s="1665"/>
      <c r="G115" s="1666"/>
      <c r="H115" s="1667"/>
      <c r="I115" s="1682"/>
      <c r="J115" s="1682"/>
      <c r="K115" s="1666"/>
      <c r="L115" s="1755"/>
      <c r="M115" s="1765"/>
      <c r="N115" s="1606"/>
      <c r="O115" s="1607"/>
      <c r="P115" s="1607"/>
      <c r="Q115" s="1607"/>
      <c r="R115" s="1607"/>
      <c r="S115" s="1607"/>
      <c r="T115" s="1607"/>
      <c r="U115" s="1607"/>
      <c r="V115" s="1607"/>
      <c r="W115" s="1607"/>
      <c r="X115" s="1607"/>
      <c r="Y115" s="1607"/>
      <c r="Z115" s="1607"/>
      <c r="AA115" s="1607"/>
      <c r="AB115" s="1607"/>
    </row>
    <row r="116" spans="1:28" ht="18.75" customHeight="1">
      <c r="A116" s="340" t="s">
        <v>1461</v>
      </c>
      <c r="B116" s="1646">
        <v>3</v>
      </c>
      <c r="C116" s="1651"/>
      <c r="D116" s="1618" t="s">
        <v>661</v>
      </c>
      <c r="E116" s="1655" t="s">
        <v>1487</v>
      </c>
      <c r="F116" s="1665"/>
      <c r="G116" s="1666"/>
      <c r="H116" s="1667"/>
      <c r="I116" s="1682">
        <f>PRODUCT(E117:E119)*10^9</f>
        <v>0</v>
      </c>
      <c r="J116" s="1682"/>
      <c r="K116" s="1682">
        <f>I116</f>
        <v>0</v>
      </c>
      <c r="L116" s="1651"/>
      <c r="M116" s="1588" t="s">
        <v>1223</v>
      </c>
      <c r="N116" s="1412"/>
      <c r="AB116" s="1337"/>
    </row>
    <row r="117" spans="1:28" s="1582" customFormat="1" ht="31.5">
      <c r="A117" s="1904"/>
      <c r="B117" s="1743"/>
      <c r="C117" s="1744"/>
      <c r="D117" s="1657" t="s">
        <v>1478</v>
      </c>
      <c r="E117" s="1826">
        <f>CPXDtt/10^9</f>
        <v>0</v>
      </c>
      <c r="F117" s="1746"/>
      <c r="G117" s="1747"/>
      <c r="H117" s="1748"/>
      <c r="I117" s="1749"/>
      <c r="J117" s="1749"/>
      <c r="K117" s="1749"/>
      <c r="L117" s="1744"/>
      <c r="M117" s="1593"/>
      <c r="N117" s="1583"/>
      <c r="O117" s="1584"/>
      <c r="P117" s="1584"/>
      <c r="Q117" s="1584"/>
      <c r="R117" s="1584"/>
      <c r="S117" s="1584"/>
      <c r="T117" s="1584"/>
      <c r="U117" s="1584"/>
      <c r="V117" s="1584"/>
      <c r="W117" s="1584"/>
      <c r="X117" s="1584"/>
      <c r="Y117" s="1584"/>
      <c r="Z117" s="1584"/>
      <c r="AA117" s="1584"/>
      <c r="AB117" s="1584"/>
    </row>
    <row r="118" spans="1:28" ht="18.75" customHeight="1">
      <c r="B118" s="1646"/>
      <c r="C118" s="1651"/>
      <c r="D118" s="1617" t="s">
        <v>1429</v>
      </c>
      <c r="E118" s="1855">
        <f>NoiSuy1(DMTL!$B$347:$L$352,2,E117,LCT)%</f>
        <v>1.8500000000000001E-3</v>
      </c>
      <c r="F118" s="1665"/>
      <c r="G118" s="1666"/>
      <c r="H118" s="1667"/>
      <c r="I118" s="1682"/>
      <c r="J118" s="1682"/>
      <c r="K118" s="1682"/>
      <c r="L118" s="1651"/>
      <c r="M118" s="1588"/>
      <c r="N118" s="1412"/>
      <c r="AB118" s="1337"/>
    </row>
    <row r="119" spans="1:28" ht="18.75" customHeight="1">
      <c r="B119" s="1646"/>
      <c r="C119" s="1651"/>
      <c r="D119" s="1617" t="s">
        <v>1515</v>
      </c>
      <c r="E119" s="1757"/>
      <c r="F119" s="1665"/>
      <c r="G119" s="1666"/>
      <c r="H119" s="1667"/>
      <c r="I119" s="1682"/>
      <c r="J119" s="1682"/>
      <c r="K119" s="1682"/>
      <c r="L119" s="1651"/>
      <c r="M119" s="1588"/>
      <c r="N119" s="1412"/>
      <c r="AB119" s="1337"/>
    </row>
    <row r="120" spans="1:28" s="1605" customFormat="1" ht="18.75" customHeight="1">
      <c r="A120" s="1905"/>
      <c r="B120" s="1646"/>
      <c r="C120" s="1651"/>
      <c r="D120" s="1617" t="s">
        <v>67</v>
      </c>
      <c r="E120" s="1847" t="str">
        <f>IF(LCT=1,"CT dân dụng",IF(LCT=2,"CT công nghiệp",IF(LCT=3,"CT giao thông",IF(LCT=4,"CT NN &amp; PTNT",IF(LCT=5,"CT HTKT")))))</f>
        <v>CT công nghiệp</v>
      </c>
      <c r="F120" s="1665"/>
      <c r="G120" s="1666"/>
      <c r="H120" s="1667"/>
      <c r="I120" s="1682"/>
      <c r="J120" s="1682"/>
      <c r="K120" s="1682"/>
      <c r="L120" s="1755"/>
      <c r="M120" s="1611"/>
      <c r="N120" s="1606"/>
      <c r="O120" s="1607"/>
      <c r="P120" s="1607"/>
      <c r="Q120" s="1607"/>
      <c r="R120" s="1607"/>
      <c r="S120" s="1607"/>
      <c r="T120" s="1607"/>
      <c r="U120" s="1607"/>
      <c r="V120" s="1607"/>
      <c r="W120" s="1607"/>
      <c r="X120" s="1607"/>
      <c r="Y120" s="1607"/>
      <c r="Z120" s="1607"/>
      <c r="AA120" s="1607"/>
      <c r="AB120" s="1607"/>
    </row>
    <row r="121" spans="1:28" ht="18.75" customHeight="1">
      <c r="B121" s="1646">
        <v>4</v>
      </c>
      <c r="C121" s="1651"/>
      <c r="D121" s="1618" t="s">
        <v>1222</v>
      </c>
      <c r="E121" s="1655" t="s">
        <v>1462</v>
      </c>
      <c r="F121" s="1665"/>
      <c r="G121" s="1666"/>
      <c r="H121" s="1667"/>
      <c r="I121" s="1682">
        <f>PRODUCT(E122:E123)*10^9</f>
        <v>0</v>
      </c>
      <c r="J121" s="1682"/>
      <c r="K121" s="1682">
        <f>I121</f>
        <v>0</v>
      </c>
      <c r="L121" s="1651"/>
      <c r="M121" s="1683" t="s">
        <v>1221</v>
      </c>
      <c r="N121" s="1412"/>
      <c r="AB121" s="1337"/>
    </row>
    <row r="122" spans="1:28" s="1582" customFormat="1" ht="18.75" customHeight="1">
      <c r="A122" s="1904"/>
      <c r="B122" s="1743"/>
      <c r="C122" s="1744"/>
      <c r="D122" s="1617" t="s">
        <v>1479</v>
      </c>
      <c r="E122" s="1826">
        <f>TMDTTT</f>
        <v>0</v>
      </c>
      <c r="F122" s="1746"/>
      <c r="G122" s="1747"/>
      <c r="H122" s="1748"/>
      <c r="I122" s="1766"/>
      <c r="J122" s="1749"/>
      <c r="K122" s="1750"/>
      <c r="L122" s="1744"/>
      <c r="M122" s="1751"/>
      <c r="N122" s="1583"/>
      <c r="O122" s="1584"/>
      <c r="P122" s="1584"/>
      <c r="Q122" s="1584"/>
      <c r="R122" s="1584"/>
      <c r="S122" s="1584"/>
      <c r="T122" s="1584"/>
      <c r="U122" s="1584"/>
      <c r="V122" s="1584"/>
      <c r="W122" s="1584"/>
      <c r="X122" s="1584"/>
      <c r="Y122" s="1584"/>
      <c r="Z122" s="1584"/>
      <c r="AA122" s="1584"/>
      <c r="AB122" s="1584"/>
    </row>
    <row r="123" spans="1:28" ht="18.75" customHeight="1">
      <c r="B123" s="1646"/>
      <c r="C123" s="1651"/>
      <c r="D123" s="1617" t="s">
        <v>1447</v>
      </c>
      <c r="E123" s="1856">
        <f>NoiSuy1(DMTL!$B$381:$I$387,2,E122,LCT)%</f>
        <v>9.6699999999999992E-5</v>
      </c>
      <c r="F123" s="1665"/>
      <c r="G123" s="1666"/>
      <c r="H123" s="1667"/>
      <c r="I123" s="1682"/>
      <c r="J123" s="1682"/>
      <c r="K123" s="1650"/>
      <c r="L123" s="1651"/>
      <c r="M123" s="1683"/>
      <c r="N123" s="1412"/>
      <c r="AB123" s="1337"/>
    </row>
    <row r="124" spans="1:28" s="1605" customFormat="1" ht="18.75" customHeight="1">
      <c r="A124" s="1905"/>
      <c r="B124" s="1646"/>
      <c r="C124" s="1651"/>
      <c r="D124" s="1617" t="s">
        <v>67</v>
      </c>
      <c r="E124" s="1847" t="str">
        <f>IF(LCT=1,"CT dân dụng",IF(LCT=2,"CT công nghiệp",IF(LCT=3,"CT giao thông",IF(LCT=4,"CT NN &amp; PTNT",IF(LCT=5,"CT HTKT",IF(LCT=6,"CT dầu khí, năng lượng, hóa chất"))))))</f>
        <v>CT công nghiệp</v>
      </c>
      <c r="F124" s="1665"/>
      <c r="G124" s="1666"/>
      <c r="H124" s="1667"/>
      <c r="I124" s="1682"/>
      <c r="J124" s="1682"/>
      <c r="K124" s="1650"/>
      <c r="L124" s="1755"/>
      <c r="M124" s="1756"/>
      <c r="N124" s="1606"/>
      <c r="O124" s="1607"/>
      <c r="P124" s="1607"/>
      <c r="Q124" s="1607"/>
      <c r="R124" s="1607"/>
      <c r="S124" s="1607"/>
      <c r="T124" s="1607"/>
      <c r="U124" s="1607"/>
      <c r="V124" s="1607"/>
      <c r="W124" s="1607"/>
      <c r="X124" s="1607"/>
      <c r="Y124" s="1607"/>
      <c r="Z124" s="1607"/>
      <c r="AA124" s="1607"/>
      <c r="AB124" s="1607"/>
    </row>
    <row r="125" spans="1:28">
      <c r="B125" s="1646"/>
      <c r="C125" s="1651"/>
      <c r="D125" s="1617"/>
      <c r="E125" s="1767"/>
      <c r="F125" s="1665"/>
      <c r="G125" s="1666"/>
      <c r="H125" s="1667"/>
      <c r="I125" s="1682"/>
      <c r="J125" s="1682"/>
      <c r="K125" s="1650"/>
      <c r="L125" s="1651"/>
      <c r="M125" s="1683"/>
      <c r="N125" s="1412"/>
      <c r="AB125" s="1337"/>
    </row>
    <row r="126" spans="1:28">
      <c r="B126" s="1827" t="s">
        <v>195</v>
      </c>
      <c r="C126" s="1828"/>
      <c r="D126" s="1829" t="s">
        <v>1220</v>
      </c>
      <c r="E126" s="1857"/>
      <c r="F126" s="1858"/>
      <c r="G126" s="1859"/>
      <c r="H126" s="1860"/>
      <c r="I126" s="1861">
        <f>SUM(I127:I143)</f>
        <v>0</v>
      </c>
      <c r="J126" s="1861">
        <f>SUM(J127:J143)</f>
        <v>0</v>
      </c>
      <c r="K126" s="1831">
        <f>SUM(K127:K143)</f>
        <v>0</v>
      </c>
      <c r="L126" s="1644"/>
      <c r="M126" s="1768"/>
      <c r="N126" s="1412"/>
      <c r="AB126" s="1337"/>
    </row>
    <row r="127" spans="1:28" ht="31.5">
      <c r="A127" s="340" t="s">
        <v>1464</v>
      </c>
      <c r="B127" s="1646">
        <v>5</v>
      </c>
      <c r="C127" s="1651"/>
      <c r="D127" s="1616" t="s">
        <v>798</v>
      </c>
      <c r="E127" s="1661" t="s">
        <v>1488</v>
      </c>
      <c r="F127" s="1665"/>
      <c r="G127" s="1666"/>
      <c r="H127" s="1667"/>
      <c r="I127" s="1682">
        <f>PRODUCT(E128:E130)*10^9</f>
        <v>0</v>
      </c>
      <c r="J127" s="1682">
        <f>K127-I127</f>
        <v>0</v>
      </c>
      <c r="K127" s="1650">
        <f>I127*1.1</f>
        <v>0</v>
      </c>
      <c r="L127" s="1651"/>
      <c r="M127" s="1769" t="s">
        <v>1431</v>
      </c>
      <c r="N127" s="1412"/>
      <c r="AB127" s="1337"/>
    </row>
    <row r="128" spans="1:28" s="1582" customFormat="1" ht="47.25">
      <c r="A128" s="1904"/>
      <c r="B128" s="1743"/>
      <c r="C128" s="1744"/>
      <c r="D128" s="1615" t="s">
        <v>1480</v>
      </c>
      <c r="E128" s="1826">
        <f>0/10^9</f>
        <v>0</v>
      </c>
      <c r="F128" s="1746"/>
      <c r="G128" s="1747"/>
      <c r="H128" s="1748"/>
      <c r="I128" s="1749"/>
      <c r="J128" s="1749"/>
      <c r="K128" s="1750"/>
      <c r="L128" s="1744"/>
      <c r="M128" s="1751"/>
      <c r="N128" s="1583"/>
      <c r="O128" s="1584"/>
      <c r="P128" s="1584"/>
      <c r="Q128" s="1584"/>
      <c r="R128" s="1584"/>
      <c r="S128" s="1584"/>
      <c r="T128" s="1584"/>
      <c r="U128" s="1584"/>
      <c r="V128" s="1584"/>
      <c r="W128" s="1584"/>
      <c r="X128" s="1584"/>
      <c r="Y128" s="1584"/>
      <c r="Z128" s="1584"/>
      <c r="AA128" s="1584"/>
      <c r="AB128" s="1584"/>
    </row>
    <row r="129" spans="1:28" ht="18.75" customHeight="1">
      <c r="B129" s="1646"/>
      <c r="C129" s="1651"/>
      <c r="D129" s="1617" t="s">
        <v>1429</v>
      </c>
      <c r="E129" s="1855">
        <f>NoiSuy1(DMTL!$B$318:$J$319,2,E128,1)%</f>
        <v>9.5999999999999992E-3</v>
      </c>
      <c r="F129" s="1665"/>
      <c r="G129" s="1666"/>
      <c r="H129" s="1667"/>
      <c r="I129" s="1682"/>
      <c r="J129" s="1682"/>
      <c r="K129" s="1650"/>
      <c r="L129" s="1651"/>
      <c r="M129" s="1683"/>
      <c r="N129" s="1412"/>
      <c r="AB129" s="1337"/>
    </row>
    <row r="130" spans="1:28" ht="18.75" customHeight="1">
      <c r="B130" s="1646"/>
      <c r="C130" s="1651"/>
      <c r="D130" s="1617" t="s">
        <v>1515</v>
      </c>
      <c r="E130" s="1763"/>
      <c r="F130" s="1665"/>
      <c r="G130" s="1666"/>
      <c r="H130" s="1667"/>
      <c r="I130" s="1682"/>
      <c r="J130" s="1682"/>
      <c r="K130" s="1650"/>
      <c r="L130" s="1651"/>
      <c r="M130" s="1683"/>
      <c r="N130" s="1412"/>
      <c r="AB130" s="1337"/>
    </row>
    <row r="131" spans="1:28" ht="31.5">
      <c r="A131" s="340" t="s">
        <v>1465</v>
      </c>
      <c r="B131" s="1646">
        <v>6</v>
      </c>
      <c r="C131" s="1651"/>
      <c r="D131" s="1618" t="s">
        <v>1219</v>
      </c>
      <c r="E131" s="1655" t="s">
        <v>1488</v>
      </c>
      <c r="F131" s="1665"/>
      <c r="G131" s="1666"/>
      <c r="H131" s="1667"/>
      <c r="I131" s="1682">
        <f>PRODUCT(E132:E134)*10^9</f>
        <v>0</v>
      </c>
      <c r="J131" s="1682">
        <f>K131-I131</f>
        <v>0</v>
      </c>
      <c r="K131" s="1650">
        <f>I131*1.1</f>
        <v>0</v>
      </c>
      <c r="L131" s="1651"/>
      <c r="M131" s="1769" t="s">
        <v>1432</v>
      </c>
      <c r="N131" s="1412"/>
      <c r="AB131" s="1337"/>
    </row>
    <row r="132" spans="1:28" s="1582" customFormat="1" ht="47.25">
      <c r="A132" s="1904"/>
      <c r="B132" s="1743"/>
      <c r="C132" s="1744"/>
      <c r="D132" s="1615" t="s">
        <v>1480</v>
      </c>
      <c r="E132" s="1826">
        <f>0/10^9</f>
        <v>0</v>
      </c>
      <c r="F132" s="1746"/>
      <c r="G132" s="1747"/>
      <c r="H132" s="1748"/>
      <c r="I132" s="1749"/>
      <c r="J132" s="1749"/>
      <c r="K132" s="1750"/>
      <c r="L132" s="1744"/>
      <c r="M132" s="1751"/>
      <c r="N132" s="1583"/>
      <c r="O132" s="1584"/>
      <c r="P132" s="1584"/>
      <c r="Q132" s="1584"/>
      <c r="R132" s="1584"/>
      <c r="S132" s="1584"/>
      <c r="T132" s="1584"/>
      <c r="U132" s="1584"/>
      <c r="V132" s="1584"/>
      <c r="W132" s="1584"/>
      <c r="X132" s="1584"/>
      <c r="Y132" s="1584"/>
      <c r="Z132" s="1584"/>
      <c r="AA132" s="1584"/>
      <c r="AB132" s="1584"/>
    </row>
    <row r="133" spans="1:28" ht="18.75" customHeight="1">
      <c r="B133" s="1646"/>
      <c r="C133" s="1651"/>
      <c r="D133" s="1617" t="s">
        <v>1429</v>
      </c>
      <c r="E133" s="1855">
        <f>NoiSuy1(DMTL!$B$324:$J$325,2,E132,1)%</f>
        <v>5.6999999999999993E-3</v>
      </c>
      <c r="F133" s="1665"/>
      <c r="G133" s="1666"/>
      <c r="H133" s="1667"/>
      <c r="I133" s="1682"/>
      <c r="J133" s="1682"/>
      <c r="K133" s="1650"/>
      <c r="L133" s="1651"/>
      <c r="M133" s="1683"/>
      <c r="N133" s="1412"/>
      <c r="AB133" s="1337"/>
    </row>
    <row r="134" spans="1:28" ht="18.75" customHeight="1">
      <c r="B134" s="1646"/>
      <c r="C134" s="1651"/>
      <c r="D134" s="1617" t="s">
        <v>1515</v>
      </c>
      <c r="E134" s="1661"/>
      <c r="F134" s="1665"/>
      <c r="G134" s="1666"/>
      <c r="H134" s="1667"/>
      <c r="I134" s="1682"/>
      <c r="J134" s="1682"/>
      <c r="K134" s="1650"/>
      <c r="L134" s="1651"/>
      <c r="M134" s="1683"/>
      <c r="N134" s="1412"/>
      <c r="AB134" s="1337"/>
    </row>
    <row r="135" spans="1:28" ht="31.5">
      <c r="A135" s="340" t="s">
        <v>1466</v>
      </c>
      <c r="B135" s="1646">
        <v>7</v>
      </c>
      <c r="C135" s="1651"/>
      <c r="D135" s="1619" t="s">
        <v>1445</v>
      </c>
      <c r="E135" s="1655"/>
      <c r="F135" s="1665"/>
      <c r="G135" s="1666"/>
      <c r="H135" s="1667"/>
      <c r="I135" s="1682">
        <f>PRODUCT(E137:E139)</f>
        <v>0</v>
      </c>
      <c r="J135" s="1682">
        <f>K135-I135</f>
        <v>0</v>
      </c>
      <c r="K135" s="1650">
        <f>I135*1.1</f>
        <v>0</v>
      </c>
      <c r="L135" s="1651"/>
      <c r="M135" s="1683"/>
      <c r="N135" s="1412"/>
      <c r="AB135" s="1337"/>
    </row>
    <row r="136" spans="1:28" ht="18.75" customHeight="1">
      <c r="B136" s="1646"/>
      <c r="C136" s="1651"/>
      <c r="D136" s="1617" t="s">
        <v>1463</v>
      </c>
      <c r="E136" s="1763"/>
      <c r="F136" s="1665"/>
      <c r="G136" s="1666"/>
      <c r="H136" s="1667"/>
      <c r="I136" s="1682"/>
      <c r="J136" s="1682"/>
      <c r="K136" s="1650"/>
      <c r="L136" s="1651"/>
      <c r="M136" s="1683"/>
      <c r="N136" s="1412"/>
      <c r="AB136" s="1337"/>
    </row>
    <row r="137" spans="1:28" ht="18.75" customHeight="1">
      <c r="B137" s="1646"/>
      <c r="C137" s="1651"/>
      <c r="D137" s="1617" t="s">
        <v>1446</v>
      </c>
      <c r="E137" s="1763">
        <f>GT_TC</f>
        <v>0</v>
      </c>
      <c r="F137" s="1665"/>
      <c r="G137" s="1666"/>
      <c r="H137" s="1667"/>
      <c r="I137" s="1682"/>
      <c r="J137" s="1682"/>
      <c r="K137" s="1650"/>
      <c r="L137" s="1651"/>
      <c r="M137" s="1683"/>
      <c r="N137" s="1412"/>
      <c r="AB137" s="1337"/>
    </row>
    <row r="138" spans="1:28" ht="18.75" customHeight="1">
      <c r="B138" s="1646"/>
      <c r="C138" s="1651"/>
      <c r="D138" s="1617" t="s">
        <v>1447</v>
      </c>
      <c r="E138" s="1855">
        <f>NoiSuy1(DMTL!$B$394:$H$395,4,E136,1)%</f>
        <v>1.9E-2</v>
      </c>
      <c r="F138" s="1665"/>
      <c r="G138" s="1666"/>
      <c r="H138" s="1667"/>
      <c r="I138" s="1682"/>
      <c r="J138" s="1682"/>
      <c r="K138" s="1650"/>
      <c r="L138" s="1651"/>
      <c r="M138" s="1683"/>
      <c r="N138" s="1412"/>
      <c r="AB138" s="1337"/>
    </row>
    <row r="139" spans="1:28" ht="18.75" customHeight="1">
      <c r="B139" s="1646"/>
      <c r="C139" s="1651"/>
      <c r="D139" s="1617" t="s">
        <v>1515</v>
      </c>
      <c r="E139" s="1763"/>
      <c r="F139" s="1665"/>
      <c r="G139" s="1666"/>
      <c r="H139" s="1667"/>
      <c r="I139" s="1682"/>
      <c r="J139" s="1682"/>
      <c r="K139" s="1650"/>
      <c r="L139" s="1651"/>
      <c r="M139" s="1683"/>
      <c r="N139" s="1412"/>
      <c r="AB139" s="1337"/>
    </row>
    <row r="140" spans="1:28" ht="18.75" customHeight="1">
      <c r="B140" s="1646">
        <v>8</v>
      </c>
      <c r="C140" s="1651"/>
      <c r="D140" s="1618" t="s">
        <v>1218</v>
      </c>
      <c r="E140" s="1655" t="s">
        <v>1217</v>
      </c>
      <c r="F140" s="1665"/>
      <c r="G140" s="1666"/>
      <c r="H140" s="1667"/>
      <c r="I140" s="1682"/>
      <c r="J140" s="1682"/>
      <c r="K140" s="1650"/>
      <c r="L140" s="1651"/>
      <c r="M140" s="1770" t="s">
        <v>1433</v>
      </c>
      <c r="N140" s="1412"/>
      <c r="AB140" s="1337"/>
    </row>
    <row r="141" spans="1:28" ht="18.75" customHeight="1">
      <c r="B141" s="1646">
        <v>9</v>
      </c>
      <c r="C141" s="1651"/>
      <c r="D141" s="1618" t="s">
        <v>1216</v>
      </c>
      <c r="E141" s="1655" t="s">
        <v>1215</v>
      </c>
      <c r="F141" s="1665"/>
      <c r="G141" s="1666"/>
      <c r="H141" s="1667"/>
      <c r="I141" s="1682"/>
      <c r="J141" s="1682"/>
      <c r="K141" s="1650"/>
      <c r="L141" s="1651"/>
      <c r="M141" s="1683" t="s">
        <v>1214</v>
      </c>
      <c r="N141" s="1412"/>
      <c r="AB141" s="1337"/>
    </row>
    <row r="142" spans="1:28" ht="18.75" customHeight="1">
      <c r="B142" s="1646">
        <v>10</v>
      </c>
      <c r="C142" s="1651"/>
      <c r="D142" s="1618" t="s">
        <v>1213</v>
      </c>
      <c r="E142" s="1655" t="s">
        <v>338</v>
      </c>
      <c r="F142" s="1665"/>
      <c r="G142" s="1666"/>
      <c r="H142" s="1667"/>
      <c r="I142" s="1682"/>
      <c r="J142" s="1682"/>
      <c r="K142" s="1650"/>
      <c r="L142" s="1651"/>
      <c r="M142" s="1653"/>
      <c r="N142" s="1412"/>
      <c r="AB142" s="1337"/>
    </row>
    <row r="143" spans="1:28">
      <c r="B143" s="1669"/>
      <c r="C143" s="1664"/>
      <c r="D143" s="1771"/>
      <c r="E143" s="1671"/>
      <c r="F143" s="1772"/>
      <c r="G143" s="1676"/>
      <c r="H143" s="1664"/>
      <c r="I143" s="1676"/>
      <c r="J143" s="1676"/>
      <c r="K143" s="1676"/>
      <c r="L143" s="1664"/>
      <c r="M143" s="1677"/>
      <c r="N143" s="1412"/>
      <c r="AB143" s="1337"/>
    </row>
    <row r="144" spans="1:28" ht="30" customHeight="1">
      <c r="B144" s="1634" t="s">
        <v>771</v>
      </c>
      <c r="C144" s="1635"/>
      <c r="D144" s="1636" t="s">
        <v>400</v>
      </c>
      <c r="E144" s="1773" t="s">
        <v>1469</v>
      </c>
      <c r="F144" s="1774"/>
      <c r="G144" s="1641"/>
      <c r="H144" s="1642"/>
      <c r="I144" s="1641">
        <f>SUM(I145:I146)</f>
        <v>0</v>
      </c>
      <c r="J144" s="1641">
        <f>SUM(J145:J146)</f>
        <v>0</v>
      </c>
      <c r="K144" s="1641">
        <f>SUM(K145:K146)</f>
        <v>0</v>
      </c>
      <c r="L144" s="1642" t="s">
        <v>527</v>
      </c>
      <c r="M144" s="1643" t="s">
        <v>1212</v>
      </c>
      <c r="O144" s="1790" t="s">
        <v>1282</v>
      </c>
      <c r="P144" s="1793"/>
      <c r="AB144" s="1337"/>
    </row>
    <row r="145" spans="1:28" ht="18.75" customHeight="1">
      <c r="B145" s="1646">
        <v>1</v>
      </c>
      <c r="C145" s="1651"/>
      <c r="D145" s="1618" t="s">
        <v>1211</v>
      </c>
      <c r="E145" s="1648"/>
      <c r="F145" s="1665"/>
      <c r="G145" s="1666"/>
      <c r="H145" s="1667"/>
      <c r="I145" s="1682">
        <f>'CP Du phong'!C15</f>
        <v>0</v>
      </c>
      <c r="J145" s="1682">
        <f>K145-I145</f>
        <v>0</v>
      </c>
      <c r="K145" s="1650">
        <f>I145*1.1</f>
        <v>0</v>
      </c>
      <c r="L145" s="1651" t="s">
        <v>1470</v>
      </c>
      <c r="M145" s="1683" t="s">
        <v>1209</v>
      </c>
      <c r="O145" s="1791" t="s">
        <v>1281</v>
      </c>
      <c r="P145" s="1794"/>
      <c r="AB145" s="1337"/>
    </row>
    <row r="146" spans="1:28" ht="18.75" customHeight="1">
      <c r="B146" s="1669">
        <v>2</v>
      </c>
      <c r="C146" s="1664"/>
      <c r="D146" s="1618" t="s">
        <v>1210</v>
      </c>
      <c r="E146" s="1648"/>
      <c r="F146" s="1665"/>
      <c r="G146" s="1666"/>
      <c r="H146" s="1667"/>
      <c r="I146" s="1682">
        <f>'CP Du phong'!E51</f>
        <v>0</v>
      </c>
      <c r="J146" s="1682">
        <f>K146-I146</f>
        <v>0</v>
      </c>
      <c r="K146" s="1650">
        <f>I146*1.1</f>
        <v>0</v>
      </c>
      <c r="L146" s="1651" t="s">
        <v>529</v>
      </c>
      <c r="M146" s="1683" t="s">
        <v>1209</v>
      </c>
      <c r="O146" s="1791" t="s">
        <v>1280</v>
      </c>
      <c r="P146" s="1795"/>
      <c r="AB146" s="1337"/>
    </row>
    <row r="147" spans="1:28" ht="36" customHeight="1">
      <c r="B147" s="1775"/>
      <c r="C147" s="1776"/>
      <c r="D147" s="1777" t="s">
        <v>713</v>
      </c>
      <c r="E147" s="1798" t="s">
        <v>1471</v>
      </c>
      <c r="F147" s="1778"/>
      <c r="G147" s="1779"/>
      <c r="H147" s="1780"/>
      <c r="I147" s="1702">
        <f>I8+I9+I20+I36+I54+I105+I144</f>
        <v>0</v>
      </c>
      <c r="J147" s="1702">
        <f>J8+J9+J20+J36+J54+J105+J144</f>
        <v>0</v>
      </c>
      <c r="K147" s="1702">
        <f>K8+K9+K20+K36+K54+K105+K144</f>
        <v>0</v>
      </c>
      <c r="L147" s="1781" t="s">
        <v>1283</v>
      </c>
      <c r="M147" s="1782" t="s">
        <v>1208</v>
      </c>
      <c r="O147" s="1791" t="s">
        <v>1279</v>
      </c>
      <c r="P147" s="1796"/>
    </row>
    <row r="148" spans="1:28" ht="19.5" thickBot="1">
      <c r="B148" s="1783"/>
      <c r="C148" s="1784"/>
      <c r="D148" s="1784"/>
      <c r="E148" s="1784"/>
      <c r="F148" s="1785"/>
      <c r="G148" s="1786"/>
      <c r="H148" s="1787"/>
      <c r="I148" s="1784"/>
      <c r="J148" s="1784"/>
      <c r="K148" s="1788"/>
      <c r="L148" s="1784"/>
      <c r="M148" s="1789"/>
      <c r="O148" s="1791" t="s">
        <v>1278</v>
      </c>
      <c r="P148" s="1796"/>
    </row>
    <row r="149" spans="1:28" ht="19.5" thickTop="1">
      <c r="A149" s="1337"/>
      <c r="O149" s="1792" t="s">
        <v>1277</v>
      </c>
      <c r="P149" s="1796"/>
    </row>
    <row r="150" spans="1:28" ht="20.25">
      <c r="A150" s="1337"/>
      <c r="B150" s="1406" t="s">
        <v>51</v>
      </c>
      <c r="C150" s="1406"/>
      <c r="D150" s="1406"/>
      <c r="E150" s="1406"/>
      <c r="F150" s="1409"/>
      <c r="G150" s="1408" t="s">
        <v>52</v>
      </c>
      <c r="H150" s="1407"/>
      <c r="I150" s="1406"/>
      <c r="J150" s="1406"/>
      <c r="K150" s="1406"/>
      <c r="L150" s="1406"/>
      <c r="M150" s="1406"/>
      <c r="N150"/>
      <c r="O150" s="1792" t="s">
        <v>1276</v>
      </c>
      <c r="P150" s="1796"/>
      <c r="Q150"/>
      <c r="R150"/>
      <c r="S150"/>
      <c r="T150"/>
      <c r="U150"/>
      <c r="V150"/>
      <c r="W150"/>
      <c r="X150"/>
      <c r="Y150"/>
      <c r="Z150"/>
      <c r="AA150"/>
    </row>
    <row r="151" spans="1:28" ht="16.5">
      <c r="A151" s="1337"/>
      <c r="B151" s="1337"/>
      <c r="C151" s="1337"/>
      <c r="D151" s="1337"/>
      <c r="E151" s="1337"/>
      <c r="F151" s="1402"/>
      <c r="G151" s="1401"/>
      <c r="H151" s="1400"/>
      <c r="I151" s="1337"/>
      <c r="J151" s="1337"/>
      <c r="K151" s="1337"/>
      <c r="L151" s="1337"/>
      <c r="M151" s="1337"/>
      <c r="N151"/>
      <c r="O151" s="1792" t="s">
        <v>1274</v>
      </c>
      <c r="P151" s="1796">
        <f>I9</f>
        <v>0</v>
      </c>
      <c r="Q151"/>
      <c r="R151"/>
      <c r="S151"/>
      <c r="T151"/>
      <c r="U151"/>
      <c r="V151"/>
      <c r="W151"/>
      <c r="X151"/>
      <c r="Y151"/>
      <c r="Z151"/>
      <c r="AA151"/>
    </row>
    <row r="152" spans="1:28" ht="16.5">
      <c r="A152" s="1337"/>
      <c r="B152" s="1337"/>
      <c r="C152" s="1337"/>
      <c r="D152" s="1337"/>
      <c r="E152" s="1337"/>
      <c r="F152" s="1402"/>
      <c r="G152" s="1401"/>
      <c r="H152" s="1400"/>
      <c r="I152" s="1337"/>
      <c r="J152" s="1337"/>
      <c r="K152" s="1337"/>
      <c r="L152" s="1337"/>
      <c r="M152" s="1337"/>
      <c r="N152"/>
      <c r="O152" s="1792" t="s">
        <v>1273</v>
      </c>
      <c r="P152" s="1796">
        <f>I20</f>
        <v>0</v>
      </c>
      <c r="Q152"/>
      <c r="R152"/>
      <c r="S152"/>
      <c r="T152"/>
      <c r="U152"/>
      <c r="V152"/>
      <c r="W152"/>
      <c r="X152"/>
      <c r="Y152"/>
      <c r="Z152"/>
      <c r="AA152"/>
    </row>
    <row r="153" spans="1:28" ht="16.5">
      <c r="A153" s="1337"/>
      <c r="B153" s="1337"/>
      <c r="C153" s="1337"/>
      <c r="D153" s="1337"/>
      <c r="E153" s="1337"/>
      <c r="F153" s="1402"/>
      <c r="G153" s="1401"/>
      <c r="H153" s="1400"/>
      <c r="I153" s="1337"/>
      <c r="J153" s="1337"/>
      <c r="K153" s="1337"/>
      <c r="L153" s="1337"/>
      <c r="M153" s="1337"/>
      <c r="N153"/>
      <c r="O153" s="1792" t="s">
        <v>1272</v>
      </c>
      <c r="P153" s="1796"/>
      <c r="Q153"/>
      <c r="R153"/>
      <c r="S153"/>
      <c r="T153"/>
      <c r="U153"/>
      <c r="V153"/>
      <c r="W153"/>
      <c r="X153"/>
      <c r="Y153"/>
      <c r="Z153"/>
      <c r="AA153"/>
    </row>
    <row r="154" spans="1:28" ht="16.5">
      <c r="A154" s="1337"/>
      <c r="B154" s="1337"/>
      <c r="C154" s="1337"/>
      <c r="D154" s="1337"/>
      <c r="E154" s="1337"/>
      <c r="F154" s="1402"/>
      <c r="G154" s="1401"/>
      <c r="H154" s="1400"/>
      <c r="I154" s="1337"/>
      <c r="J154" s="1337"/>
      <c r="K154" s="1337"/>
      <c r="L154" s="1337"/>
      <c r="M154" s="1337"/>
      <c r="N154"/>
      <c r="O154" s="1286" t="s">
        <v>1271</v>
      </c>
      <c r="P154" s="1796"/>
      <c r="Q154"/>
      <c r="R154"/>
      <c r="S154"/>
      <c r="T154"/>
      <c r="U154"/>
      <c r="V154"/>
      <c r="W154"/>
      <c r="X154"/>
      <c r="Y154"/>
      <c r="Z154"/>
      <c r="AA154"/>
    </row>
    <row r="155" spans="1:28">
      <c r="A155" s="1337"/>
      <c r="B155" s="1337"/>
      <c r="C155" s="1337"/>
      <c r="D155" s="1337"/>
      <c r="E155" s="1337"/>
      <c r="F155" s="1402"/>
      <c r="G155" s="1405" t="s">
        <v>341</v>
      </c>
      <c r="H155" s="287"/>
      <c r="I155" s="1027"/>
      <c r="J155" s="1027"/>
      <c r="K155" s="1027"/>
      <c r="L155" s="1337"/>
      <c r="M155" s="1027"/>
      <c r="N155"/>
      <c r="Q155"/>
      <c r="R155"/>
      <c r="S155"/>
      <c r="T155"/>
      <c r="U155"/>
      <c r="V155"/>
      <c r="W155"/>
      <c r="X155"/>
      <c r="Y155"/>
      <c r="Z155"/>
      <c r="AA155"/>
    </row>
    <row r="156" spans="1:28">
      <c r="A156" s="1337"/>
      <c r="B156" s="1337"/>
      <c r="C156" s="1337"/>
      <c r="D156" s="1337"/>
      <c r="E156" s="1337"/>
      <c r="F156" s="1402"/>
      <c r="G156" s="1404" t="s">
        <v>1207</v>
      </c>
      <c r="H156" s="1403"/>
      <c r="I156" s="1403"/>
      <c r="J156" s="1403"/>
      <c r="K156" s="1403"/>
      <c r="L156" s="1337"/>
      <c r="M156" s="1403"/>
      <c r="N156"/>
      <c r="Q156"/>
      <c r="R156"/>
      <c r="S156"/>
      <c r="T156"/>
      <c r="U156"/>
      <c r="V156"/>
      <c r="W156"/>
      <c r="X156"/>
      <c r="Y156"/>
      <c r="Z156"/>
      <c r="AA156"/>
    </row>
    <row r="157" spans="1:28" ht="16.5">
      <c r="A157" s="1337"/>
      <c r="B157" s="1337"/>
      <c r="C157" s="1337"/>
      <c r="D157" s="1337"/>
      <c r="E157" s="1337"/>
      <c r="F157" s="1402"/>
      <c r="G157" s="1401"/>
      <c r="H157" s="1400"/>
      <c r="I157" s="1337"/>
      <c r="J157" s="1337"/>
      <c r="K157" s="1337"/>
      <c r="L157" s="1337"/>
      <c r="M157" s="1337"/>
      <c r="N157"/>
      <c r="Q157"/>
      <c r="R157"/>
      <c r="S157"/>
      <c r="T157"/>
      <c r="U157"/>
      <c r="V157"/>
      <c r="W157"/>
      <c r="X157"/>
      <c r="Y157"/>
      <c r="Z157"/>
      <c r="AA157"/>
    </row>
    <row r="158" spans="1:28" ht="16.5">
      <c r="A158" s="1337"/>
      <c r="B158" s="1337"/>
      <c r="C158" s="1337"/>
      <c r="D158" s="1337"/>
      <c r="E158" s="1337"/>
      <c r="F158" s="1402"/>
      <c r="G158" s="1401"/>
      <c r="H158" s="1400"/>
      <c r="I158" s="1337"/>
      <c r="J158" s="1337"/>
      <c r="K158" s="1337"/>
      <c r="L158" s="1337"/>
      <c r="M158" s="1337"/>
      <c r="N158"/>
      <c r="Q158"/>
      <c r="R158"/>
      <c r="S158"/>
      <c r="T158"/>
      <c r="U158"/>
      <c r="V158"/>
      <c r="W158"/>
      <c r="X158"/>
      <c r="Y158"/>
      <c r="Z158"/>
      <c r="AA158"/>
    </row>
    <row r="159" spans="1:28" ht="16.5">
      <c r="A159" s="1337"/>
      <c r="B159" s="1337"/>
      <c r="C159" s="1337"/>
      <c r="D159" s="1337"/>
      <c r="E159" s="1337"/>
      <c r="F159" s="1402"/>
      <c r="G159" s="1401"/>
      <c r="H159" s="1400"/>
      <c r="I159" s="1337"/>
      <c r="J159" s="1337"/>
      <c r="K159" s="1337"/>
      <c r="L159" s="1337"/>
      <c r="M159" s="1337"/>
      <c r="N159"/>
      <c r="Q159"/>
      <c r="R159"/>
      <c r="S159"/>
      <c r="T159"/>
      <c r="U159"/>
      <c r="V159"/>
      <c r="W159"/>
      <c r="X159"/>
      <c r="Y159"/>
      <c r="Z159"/>
      <c r="AA159"/>
    </row>
    <row r="160" spans="1:28" ht="16.5">
      <c r="A160" s="1337"/>
      <c r="B160" s="1337"/>
      <c r="C160" s="1337"/>
      <c r="D160" s="1337"/>
      <c r="E160" s="1337"/>
      <c r="F160" s="1402"/>
      <c r="G160" s="1401"/>
      <c r="H160" s="1400"/>
      <c r="I160" s="1337"/>
      <c r="J160" s="1337"/>
      <c r="K160" s="1337"/>
      <c r="L160" s="1337"/>
      <c r="M160" s="1337"/>
      <c r="N160"/>
      <c r="Q160"/>
      <c r="R160"/>
      <c r="S160"/>
      <c r="T160"/>
      <c r="U160"/>
      <c r="V160"/>
      <c r="W160"/>
      <c r="X160"/>
      <c r="Y160"/>
      <c r="Z160"/>
      <c r="AA160"/>
    </row>
    <row r="161" spans="1:27" ht="16.5">
      <c r="A161" s="1337"/>
      <c r="B161" s="1337"/>
      <c r="C161" s="1337"/>
      <c r="D161" s="1337"/>
      <c r="E161" s="1337"/>
      <c r="F161" s="1402"/>
      <c r="G161" s="1401"/>
      <c r="H161" s="1400"/>
      <c r="I161" s="1337"/>
      <c r="J161" s="1337"/>
      <c r="K161" s="1337"/>
      <c r="L161" s="1337"/>
      <c r="M161" s="1337"/>
      <c r="N161"/>
      <c r="O161"/>
      <c r="P161"/>
      <c r="Q161"/>
      <c r="R161"/>
      <c r="S161"/>
      <c r="T161"/>
      <c r="U161"/>
      <c r="V161"/>
      <c r="W161"/>
      <c r="X161"/>
      <c r="Y161"/>
      <c r="Z161"/>
      <c r="AA161"/>
    </row>
    <row r="162" spans="1:27" ht="16.5">
      <c r="A162" s="1337"/>
      <c r="B162" s="1337"/>
      <c r="C162" s="1337"/>
      <c r="D162" s="1337"/>
      <c r="E162" s="1337"/>
      <c r="F162" s="1402"/>
      <c r="G162" s="1401"/>
      <c r="H162" s="1400"/>
      <c r="I162" s="1337"/>
      <c r="J162" s="1337"/>
      <c r="K162" s="1337"/>
      <c r="L162" s="1337"/>
      <c r="M162" s="1337"/>
      <c r="N162"/>
      <c r="O162"/>
      <c r="P162"/>
      <c r="Q162"/>
      <c r="R162"/>
      <c r="S162"/>
      <c r="T162"/>
      <c r="U162"/>
      <c r="V162"/>
      <c r="W162"/>
      <c r="X162"/>
      <c r="Y162"/>
      <c r="Z162"/>
      <c r="AA162"/>
    </row>
    <row r="163" spans="1:27" ht="16.5">
      <c r="A163" s="1337"/>
      <c r="B163" s="1337"/>
      <c r="C163" s="1337"/>
      <c r="D163" s="1337"/>
      <c r="E163" s="1337"/>
      <c r="F163" s="1402"/>
      <c r="G163" s="1401"/>
      <c r="H163" s="1400"/>
      <c r="I163" s="1337"/>
      <c r="J163" s="1337"/>
      <c r="K163" s="1337"/>
      <c r="L163" s="1337"/>
      <c r="M163" s="1337"/>
      <c r="N163"/>
      <c r="O163"/>
      <c r="P163"/>
      <c r="Q163"/>
      <c r="R163"/>
      <c r="S163"/>
      <c r="T163"/>
      <c r="U163"/>
      <c r="V163"/>
      <c r="W163"/>
      <c r="X163"/>
      <c r="Y163"/>
      <c r="Z163"/>
      <c r="AA163"/>
    </row>
    <row r="164" spans="1:27" ht="16.5">
      <c r="A164" s="1337"/>
      <c r="B164" s="1337"/>
      <c r="C164" s="1337"/>
      <c r="D164" s="1337"/>
      <c r="E164" s="1337"/>
      <c r="F164" s="1402"/>
      <c r="G164" s="1401"/>
      <c r="H164" s="1400"/>
      <c r="I164" s="1337"/>
      <c r="J164" s="1337"/>
      <c r="K164" s="1337"/>
      <c r="L164" s="1337"/>
      <c r="M164" s="1337"/>
      <c r="N164"/>
      <c r="O164"/>
      <c r="P164"/>
      <c r="Q164"/>
      <c r="R164"/>
      <c r="S164"/>
      <c r="T164"/>
      <c r="U164"/>
      <c r="V164"/>
      <c r="W164"/>
      <c r="X164"/>
      <c r="Y164"/>
      <c r="Z164"/>
      <c r="AA164"/>
    </row>
    <row r="165" spans="1:27" ht="16.5">
      <c r="A165" s="1337"/>
      <c r="B165" s="1337"/>
      <c r="C165" s="1337"/>
      <c r="D165" s="1337"/>
      <c r="E165" s="1337"/>
      <c r="F165" s="1402"/>
      <c r="G165" s="1401"/>
      <c r="H165" s="1400"/>
      <c r="I165" s="1337"/>
      <c r="J165" s="1337"/>
      <c r="K165" s="1337"/>
      <c r="L165" s="1337"/>
      <c r="M165" s="1337"/>
      <c r="N165"/>
      <c r="O165"/>
      <c r="P165"/>
      <c r="Q165"/>
      <c r="R165"/>
      <c r="S165"/>
      <c r="T165"/>
      <c r="U165"/>
      <c r="V165"/>
      <c r="W165"/>
      <c r="X165"/>
      <c r="Y165"/>
      <c r="Z165"/>
      <c r="AA165"/>
    </row>
    <row r="166" spans="1:27" ht="16.5">
      <c r="A166" s="1337"/>
      <c r="B166" s="1337"/>
      <c r="C166" s="1337"/>
      <c r="D166" s="1337"/>
      <c r="E166" s="1337"/>
      <c r="F166" s="1402"/>
      <c r="G166" s="1401"/>
      <c r="H166" s="1400"/>
      <c r="I166" s="1337"/>
      <c r="J166" s="1337"/>
      <c r="K166" s="1337"/>
      <c r="L166" s="1337"/>
      <c r="M166" s="1337"/>
      <c r="N166"/>
      <c r="O166"/>
      <c r="P166"/>
      <c r="Q166"/>
      <c r="R166"/>
      <c r="S166"/>
      <c r="T166"/>
      <c r="U166"/>
      <c r="V166"/>
      <c r="W166"/>
      <c r="X166"/>
      <c r="Y166"/>
      <c r="Z166"/>
      <c r="AA166"/>
    </row>
    <row r="167" spans="1:27" ht="16.5">
      <c r="A167" s="1337"/>
      <c r="B167" s="1337"/>
      <c r="C167" s="1337"/>
      <c r="D167" s="1337"/>
      <c r="E167" s="1337"/>
      <c r="F167" s="1402"/>
      <c r="G167" s="1401"/>
      <c r="H167" s="1400"/>
      <c r="I167" s="1337"/>
      <c r="J167" s="1337"/>
      <c r="K167" s="1337"/>
      <c r="L167" s="1337"/>
      <c r="M167" s="1337"/>
      <c r="N167"/>
      <c r="O167"/>
      <c r="P167"/>
      <c r="Q167"/>
      <c r="R167"/>
      <c r="S167"/>
      <c r="T167"/>
      <c r="U167"/>
      <c r="V167"/>
      <c r="W167"/>
      <c r="X167"/>
      <c r="Y167"/>
      <c r="Z167"/>
      <c r="AA167"/>
    </row>
    <row r="168" spans="1:27" ht="16.5">
      <c r="A168" s="1337"/>
      <c r="B168" s="1337"/>
      <c r="C168" s="1337"/>
      <c r="D168" s="1337"/>
      <c r="E168" s="1337"/>
      <c r="F168" s="1402"/>
      <c r="G168" s="1401"/>
      <c r="H168" s="1400"/>
      <c r="I168" s="1337"/>
      <c r="J168" s="1337"/>
      <c r="K168" s="1337"/>
      <c r="L168" s="1337"/>
      <c r="M168" s="1337"/>
      <c r="N168"/>
      <c r="O168"/>
      <c r="P168"/>
      <c r="Q168"/>
      <c r="R168"/>
      <c r="S168"/>
      <c r="T168"/>
      <c r="U168"/>
      <c r="V168"/>
      <c r="W168"/>
      <c r="X168"/>
      <c r="Y168"/>
      <c r="Z168"/>
      <c r="AA168"/>
    </row>
    <row r="169" spans="1:27" ht="16.5">
      <c r="A169" s="1337"/>
      <c r="B169" s="1337"/>
      <c r="C169" s="1337"/>
      <c r="D169" s="1337"/>
      <c r="E169" s="1337"/>
      <c r="F169" s="1402"/>
      <c r="G169" s="1401"/>
      <c r="H169" s="1400"/>
      <c r="I169" s="1337"/>
      <c r="J169" s="1337"/>
      <c r="K169" s="1337"/>
      <c r="L169" s="1337"/>
      <c r="M169" s="1337"/>
      <c r="N169"/>
      <c r="O169"/>
      <c r="P169"/>
      <c r="Q169"/>
      <c r="R169"/>
      <c r="S169"/>
      <c r="T169"/>
      <c r="U169"/>
      <c r="V169"/>
      <c r="W169"/>
      <c r="X169"/>
      <c r="Y169"/>
      <c r="Z169"/>
      <c r="AA169"/>
    </row>
    <row r="170" spans="1:27" ht="16.5">
      <c r="A170" s="1337"/>
      <c r="B170" s="1337"/>
      <c r="C170" s="1337"/>
      <c r="D170" s="1337"/>
      <c r="E170" s="1337"/>
      <c r="F170" s="1402"/>
      <c r="G170" s="1401"/>
      <c r="H170" s="1400"/>
      <c r="I170" s="1337"/>
      <c r="J170" s="1337"/>
      <c r="K170" s="1337"/>
      <c r="L170" s="1337"/>
      <c r="M170" s="1337"/>
      <c r="N170"/>
      <c r="O170"/>
      <c r="P170"/>
      <c r="Q170"/>
      <c r="R170"/>
      <c r="S170"/>
      <c r="T170"/>
      <c r="U170"/>
      <c r="V170"/>
      <c r="W170"/>
      <c r="X170"/>
      <c r="Y170"/>
      <c r="Z170"/>
      <c r="AA170"/>
    </row>
    <row r="171" spans="1:27" ht="16.5">
      <c r="A171" s="1337"/>
      <c r="B171" s="1337"/>
      <c r="C171" s="1337"/>
      <c r="D171" s="1337"/>
      <c r="E171" s="1337"/>
      <c r="F171" s="1402"/>
      <c r="G171" s="1401"/>
      <c r="H171" s="1400"/>
      <c r="I171" s="1337"/>
      <c r="J171" s="1337"/>
      <c r="K171" s="1337"/>
      <c r="L171" s="1337"/>
      <c r="M171" s="1337"/>
      <c r="N171"/>
      <c r="O171"/>
      <c r="P171"/>
      <c r="Q171"/>
      <c r="R171"/>
      <c r="S171"/>
      <c r="T171"/>
      <c r="U171"/>
      <c r="V171"/>
      <c r="W171"/>
      <c r="X171"/>
      <c r="Y171"/>
      <c r="Z171"/>
      <c r="AA171"/>
    </row>
    <row r="172" spans="1:27" ht="16.5">
      <c r="A172" s="1337"/>
      <c r="B172" s="1337"/>
      <c r="C172" s="1337"/>
      <c r="D172" s="1337"/>
      <c r="E172" s="1337"/>
      <c r="F172" s="1402"/>
      <c r="G172" s="1401"/>
      <c r="H172" s="1400"/>
      <c r="I172" s="1337"/>
      <c r="J172" s="1337"/>
      <c r="K172" s="1337"/>
      <c r="L172" s="1337"/>
      <c r="M172" s="1337"/>
      <c r="N172"/>
      <c r="O172"/>
      <c r="P172"/>
      <c r="Q172"/>
      <c r="R172"/>
      <c r="S172"/>
      <c r="T172"/>
      <c r="U172"/>
      <c r="V172"/>
      <c r="W172"/>
      <c r="X172"/>
      <c r="Y172"/>
      <c r="Z172"/>
      <c r="AA172"/>
    </row>
    <row r="173" spans="1:27" ht="16.5">
      <c r="A173" s="1337"/>
      <c r="B173" s="1337"/>
      <c r="C173" s="1337"/>
      <c r="D173" s="1337"/>
      <c r="E173" s="1337"/>
      <c r="F173" s="1402"/>
      <c r="G173" s="1401"/>
      <c r="H173" s="1400"/>
      <c r="I173" s="1337"/>
      <c r="J173" s="1337"/>
      <c r="K173" s="1337"/>
      <c r="L173" s="1337"/>
      <c r="M173" s="1337"/>
      <c r="N173"/>
      <c r="O173"/>
      <c r="P173"/>
      <c r="Q173"/>
      <c r="R173"/>
      <c r="S173"/>
      <c r="T173"/>
      <c r="U173"/>
      <c r="V173"/>
      <c r="W173"/>
      <c r="X173"/>
      <c r="Y173"/>
      <c r="Z173"/>
      <c r="AA173"/>
    </row>
    <row r="174" spans="1:27" ht="16.5">
      <c r="A174" s="1337"/>
      <c r="B174" s="1337"/>
      <c r="C174" s="1337"/>
      <c r="D174" s="1337"/>
      <c r="E174" s="1337"/>
      <c r="F174" s="1402"/>
      <c r="G174" s="1401"/>
      <c r="H174" s="1400"/>
      <c r="I174" s="1337"/>
      <c r="J174" s="1337"/>
      <c r="K174" s="1337"/>
      <c r="L174" s="1337"/>
      <c r="M174" s="1337"/>
      <c r="N174"/>
      <c r="O174"/>
      <c r="P174"/>
      <c r="Q174"/>
      <c r="R174"/>
      <c r="S174"/>
      <c r="T174"/>
      <c r="U174"/>
      <c r="V174"/>
      <c r="W174"/>
      <c r="X174"/>
      <c r="Y174"/>
      <c r="Z174"/>
      <c r="AA174"/>
    </row>
    <row r="175" spans="1:27" ht="16.5">
      <c r="A175" s="1337"/>
      <c r="B175" s="1337"/>
      <c r="C175" s="1337"/>
      <c r="D175" s="1337"/>
      <c r="E175" s="1337"/>
      <c r="F175" s="1402"/>
      <c r="G175" s="1401"/>
      <c r="H175" s="1400"/>
      <c r="I175" s="1337"/>
      <c r="J175" s="1337"/>
      <c r="K175" s="1337"/>
      <c r="L175" s="1337"/>
      <c r="M175" s="1337"/>
      <c r="N175"/>
      <c r="O175"/>
      <c r="P175"/>
      <c r="Q175"/>
      <c r="R175"/>
      <c r="S175"/>
      <c r="T175"/>
      <c r="U175"/>
      <c r="V175"/>
      <c r="W175"/>
      <c r="X175"/>
      <c r="Y175"/>
      <c r="Z175"/>
      <c r="AA175"/>
    </row>
    <row r="176" spans="1:27" ht="16.5">
      <c r="A176" s="1337"/>
      <c r="B176" s="1337"/>
      <c r="C176" s="1337"/>
      <c r="D176" s="1337"/>
      <c r="E176" s="1337"/>
      <c r="F176" s="1402"/>
      <c r="G176" s="1401"/>
      <c r="H176" s="1400"/>
      <c r="I176" s="1337"/>
      <c r="J176" s="1337"/>
      <c r="K176" s="1337"/>
      <c r="L176" s="1337"/>
      <c r="M176" s="1337"/>
      <c r="N176"/>
      <c r="O176"/>
      <c r="P176"/>
      <c r="Q176"/>
      <c r="R176"/>
      <c r="S176"/>
      <c r="T176"/>
      <c r="U176"/>
      <c r="V176"/>
      <c r="W176"/>
      <c r="X176"/>
      <c r="Y176"/>
      <c r="Z176"/>
      <c r="AA176"/>
    </row>
    <row r="177" spans="1:27" ht="16.5">
      <c r="A177" s="1337"/>
      <c r="B177" s="1337"/>
      <c r="C177" s="1337"/>
      <c r="D177" s="1337"/>
      <c r="E177" s="1337"/>
      <c r="F177" s="1402"/>
      <c r="G177" s="1401"/>
      <c r="H177" s="1400"/>
      <c r="I177" s="1337"/>
      <c r="J177" s="1337"/>
      <c r="K177" s="1337"/>
      <c r="L177" s="1337"/>
      <c r="M177" s="1337"/>
      <c r="N177"/>
      <c r="O177"/>
      <c r="P177"/>
      <c r="Q177"/>
      <c r="R177"/>
      <c r="S177"/>
      <c r="T177"/>
      <c r="U177"/>
      <c r="V177"/>
      <c r="W177"/>
      <c r="X177"/>
      <c r="Y177"/>
      <c r="Z177"/>
      <c r="AA177"/>
    </row>
    <row r="178" spans="1:27" ht="16.5">
      <c r="A178" s="1337"/>
      <c r="B178" s="1337"/>
      <c r="C178" s="1337"/>
      <c r="D178" s="1337"/>
      <c r="E178" s="1337"/>
      <c r="F178" s="1402"/>
      <c r="G178" s="1401"/>
      <c r="H178" s="1400"/>
      <c r="I178" s="1337"/>
      <c r="J178" s="1337"/>
      <c r="K178" s="1337"/>
      <c r="L178" s="1337"/>
      <c r="M178" s="1337"/>
      <c r="N178"/>
      <c r="O178"/>
      <c r="P178"/>
      <c r="Q178"/>
      <c r="R178"/>
      <c r="S178"/>
      <c r="T178"/>
      <c r="U178"/>
      <c r="V178"/>
      <c r="W178"/>
      <c r="X178"/>
      <c r="Y178"/>
      <c r="Z178"/>
      <c r="AA178"/>
    </row>
    <row r="179" spans="1:27" ht="16.5">
      <c r="A179" s="1337"/>
      <c r="B179" s="1337"/>
      <c r="C179" s="1337"/>
      <c r="D179" s="1337"/>
      <c r="E179" s="1337"/>
      <c r="F179" s="1402"/>
      <c r="G179" s="1401"/>
      <c r="H179" s="1400"/>
      <c r="I179" s="1337"/>
      <c r="J179" s="1337"/>
      <c r="K179" s="1337"/>
      <c r="L179" s="1337"/>
      <c r="M179" s="1337"/>
      <c r="N179"/>
      <c r="O179"/>
      <c r="P179"/>
      <c r="Q179"/>
      <c r="R179"/>
      <c r="S179"/>
      <c r="T179"/>
      <c r="U179"/>
      <c r="V179"/>
      <c r="W179"/>
      <c r="X179"/>
      <c r="Y179"/>
      <c r="Z179"/>
      <c r="AA179"/>
    </row>
    <row r="180" spans="1:27" ht="16.5">
      <c r="A180" s="1337"/>
      <c r="B180" s="1337"/>
      <c r="C180" s="1337"/>
      <c r="D180" s="1337"/>
      <c r="E180" s="1337"/>
      <c r="F180" s="1402"/>
      <c r="G180" s="1401"/>
      <c r="H180" s="1400"/>
      <c r="I180" s="1337"/>
      <c r="J180" s="1337"/>
      <c r="K180" s="1337"/>
      <c r="L180" s="1337"/>
      <c r="M180" s="1337"/>
      <c r="N180"/>
      <c r="O180"/>
      <c r="P180"/>
      <c r="Q180"/>
      <c r="R180"/>
      <c r="S180"/>
      <c r="T180"/>
      <c r="U180"/>
      <c r="V180"/>
      <c r="W180"/>
      <c r="X180"/>
      <c r="Y180"/>
      <c r="Z180"/>
      <c r="AA180"/>
    </row>
    <row r="181" spans="1:27" ht="16.5">
      <c r="A181" s="1337"/>
      <c r="B181" s="1337"/>
      <c r="C181" s="1337"/>
      <c r="D181" s="1337"/>
      <c r="E181" s="1337"/>
      <c r="F181" s="1402"/>
      <c r="G181" s="1401"/>
      <c r="H181" s="1400"/>
      <c r="I181" s="1337"/>
      <c r="J181" s="1337"/>
      <c r="K181" s="1337"/>
      <c r="L181" s="1337"/>
      <c r="M181" s="1337"/>
      <c r="N181"/>
      <c r="O181"/>
      <c r="P181"/>
      <c r="Q181"/>
      <c r="R181"/>
      <c r="S181"/>
      <c r="T181"/>
      <c r="U181"/>
      <c r="V181"/>
      <c r="W181"/>
      <c r="X181"/>
      <c r="Y181"/>
      <c r="Z181"/>
      <c r="AA181"/>
    </row>
    <row r="182" spans="1:27" ht="16.5">
      <c r="A182" s="1337"/>
      <c r="B182" s="1337"/>
      <c r="C182" s="1337"/>
      <c r="D182" s="1337"/>
      <c r="E182" s="1337"/>
      <c r="F182" s="1402"/>
      <c r="G182" s="1401"/>
      <c r="H182" s="1400"/>
      <c r="I182" s="1337"/>
      <c r="J182" s="1337"/>
      <c r="K182" s="1337"/>
      <c r="L182" s="1337"/>
      <c r="M182" s="1337"/>
      <c r="N182"/>
      <c r="O182"/>
      <c r="P182"/>
      <c r="Q182"/>
      <c r="R182"/>
      <c r="S182"/>
      <c r="T182"/>
      <c r="U182"/>
      <c r="V182"/>
      <c r="W182"/>
      <c r="X182"/>
      <c r="Y182"/>
      <c r="Z182"/>
      <c r="AA182"/>
    </row>
    <row r="183" spans="1:27" ht="16.5">
      <c r="A183" s="1337"/>
      <c r="B183" s="1337"/>
      <c r="C183" s="1337"/>
      <c r="D183" s="1337"/>
      <c r="E183" s="1337"/>
      <c r="F183" s="1402"/>
      <c r="G183" s="1401"/>
      <c r="H183" s="1400"/>
      <c r="I183" s="1337"/>
      <c r="J183" s="1337"/>
      <c r="K183" s="1337"/>
      <c r="L183" s="1337"/>
      <c r="M183" s="1337"/>
      <c r="N183"/>
      <c r="O183"/>
      <c r="P183"/>
      <c r="Q183"/>
      <c r="R183"/>
      <c r="S183"/>
      <c r="T183"/>
      <c r="U183"/>
      <c r="V183"/>
      <c r="W183"/>
      <c r="X183"/>
      <c r="Y183"/>
      <c r="Z183"/>
      <c r="AA183"/>
    </row>
    <row r="184" spans="1:27" ht="16.5">
      <c r="A184" s="1337"/>
      <c r="B184" s="1337"/>
      <c r="C184" s="1337"/>
      <c r="D184" s="1337"/>
      <c r="E184" s="1337"/>
      <c r="F184" s="1402"/>
      <c r="G184" s="1401"/>
      <c r="H184" s="1400"/>
      <c r="I184" s="1337"/>
      <c r="J184" s="1337"/>
      <c r="K184" s="1337"/>
      <c r="L184" s="1337"/>
      <c r="M184" s="1337"/>
      <c r="N184"/>
      <c r="O184"/>
      <c r="P184"/>
      <c r="Q184"/>
      <c r="R184"/>
      <c r="S184"/>
      <c r="T184"/>
      <c r="U184"/>
      <c r="V184"/>
      <c r="W184"/>
      <c r="X184"/>
      <c r="Y184"/>
      <c r="Z184"/>
      <c r="AA184"/>
    </row>
    <row r="185" spans="1:27" ht="16.5">
      <c r="A185" s="1337"/>
      <c r="B185" s="1337"/>
      <c r="C185" s="1337"/>
      <c r="D185" s="1337"/>
      <c r="E185" s="1337"/>
      <c r="F185" s="1402"/>
      <c r="G185" s="1401"/>
      <c r="H185" s="1400"/>
      <c r="I185" s="1337"/>
      <c r="J185" s="1337"/>
      <c r="K185" s="1337"/>
      <c r="L185" s="1337"/>
      <c r="M185" s="1337"/>
      <c r="N185"/>
      <c r="O185"/>
      <c r="P185"/>
      <c r="Q185"/>
      <c r="R185"/>
      <c r="S185"/>
      <c r="T185"/>
      <c r="U185"/>
      <c r="V185"/>
      <c r="W185"/>
      <c r="X185"/>
      <c r="Y185"/>
      <c r="Z185"/>
      <c r="AA185"/>
    </row>
    <row r="186" spans="1:27" ht="16.5">
      <c r="A186" s="1337"/>
      <c r="B186" s="1337"/>
      <c r="C186" s="1337"/>
      <c r="D186" s="1337"/>
      <c r="E186" s="1337"/>
      <c r="F186" s="1402"/>
      <c r="G186" s="1401"/>
      <c r="H186" s="1400"/>
      <c r="I186" s="1337"/>
      <c r="J186" s="1337"/>
      <c r="K186" s="1337"/>
      <c r="L186" s="1337"/>
      <c r="M186" s="1337"/>
      <c r="N186"/>
      <c r="O186"/>
      <c r="P186"/>
      <c r="Q186"/>
      <c r="R186"/>
      <c r="S186"/>
      <c r="T186"/>
      <c r="U186"/>
      <c r="V186"/>
      <c r="W186"/>
      <c r="X186"/>
      <c r="Y186"/>
      <c r="Z186"/>
      <c r="AA186"/>
    </row>
    <row r="187" spans="1:27">
      <c r="B187" s="1337"/>
      <c r="C187" s="1337"/>
      <c r="D187" s="1337"/>
      <c r="E187" s="1337"/>
      <c r="F187" s="1402"/>
      <c r="G187" s="1401"/>
      <c r="H187" s="1400"/>
      <c r="I187" s="1337"/>
      <c r="J187" s="1337"/>
      <c r="K187" s="1337"/>
      <c r="L187" s="1337"/>
      <c r="M187" s="1337"/>
      <c r="N187"/>
      <c r="O187"/>
      <c r="P187"/>
      <c r="Q187"/>
      <c r="R187"/>
      <c r="S187"/>
      <c r="T187"/>
      <c r="U187"/>
      <c r="V187"/>
      <c r="W187"/>
      <c r="X187"/>
      <c r="Y187"/>
      <c r="Z187"/>
      <c r="AA187"/>
    </row>
    <row r="188" spans="1:27">
      <c r="B188" s="1337"/>
      <c r="C188" s="1337"/>
      <c r="D188" s="1337"/>
      <c r="E188" s="1337"/>
      <c r="F188" s="1402"/>
      <c r="G188" s="1401"/>
      <c r="H188" s="1400"/>
      <c r="I188" s="1337"/>
      <c r="J188" s="1337"/>
      <c r="K188" s="1337"/>
      <c r="L188" s="1337"/>
      <c r="N188"/>
      <c r="O188"/>
      <c r="P188"/>
      <c r="Q188"/>
      <c r="R188"/>
      <c r="S188"/>
      <c r="T188"/>
      <c r="U188"/>
      <c r="V188"/>
      <c r="W188"/>
      <c r="X188"/>
      <c r="Y188"/>
      <c r="Z188"/>
      <c r="AA188"/>
    </row>
    <row r="189" spans="1:27">
      <c r="B189" s="1337"/>
      <c r="C189" s="1337"/>
      <c r="D189" s="1337"/>
      <c r="E189" s="1337"/>
      <c r="F189" s="1402"/>
      <c r="G189" s="1401"/>
      <c r="H189" s="1400"/>
      <c r="I189" s="1337"/>
      <c r="J189" s="1337"/>
      <c r="K189" s="1337"/>
      <c r="L189" s="1337"/>
      <c r="N189"/>
      <c r="O189"/>
      <c r="P189"/>
      <c r="Q189"/>
      <c r="R189"/>
      <c r="S189"/>
      <c r="T189"/>
      <c r="U189"/>
      <c r="V189"/>
      <c r="W189"/>
      <c r="X189"/>
      <c r="Y189"/>
      <c r="Z189"/>
      <c r="AA189"/>
    </row>
    <row r="190" spans="1:27">
      <c r="B190" s="1337"/>
      <c r="C190" s="1337"/>
      <c r="D190" s="1337"/>
      <c r="E190" s="1337"/>
      <c r="F190" s="1402"/>
      <c r="G190" s="1401"/>
      <c r="H190" s="1400"/>
      <c r="I190" s="1337"/>
      <c r="J190" s="1337"/>
      <c r="K190" s="1337"/>
      <c r="L190" s="1337"/>
      <c r="N190"/>
      <c r="O190"/>
      <c r="P190"/>
      <c r="Q190"/>
      <c r="R190"/>
      <c r="S190"/>
      <c r="T190"/>
      <c r="U190"/>
      <c r="V190"/>
      <c r="W190"/>
      <c r="X190"/>
      <c r="Y190"/>
      <c r="Z190"/>
      <c r="AA190"/>
    </row>
    <row r="191" spans="1:27">
      <c r="B191" s="1337"/>
      <c r="C191" s="1337"/>
      <c r="D191" s="1337"/>
      <c r="E191" s="1337"/>
      <c r="F191" s="1402"/>
      <c r="G191" s="1401"/>
      <c r="H191" s="1400"/>
      <c r="I191" s="1337"/>
      <c r="J191" s="1337"/>
      <c r="K191" s="1337"/>
      <c r="L191" s="1337"/>
      <c r="N191"/>
      <c r="O191"/>
      <c r="P191"/>
      <c r="Q191"/>
      <c r="R191"/>
      <c r="S191"/>
      <c r="T191"/>
      <c r="U191"/>
      <c r="V191"/>
      <c r="W191"/>
      <c r="X191"/>
      <c r="Y191"/>
      <c r="Z191"/>
      <c r="AA191"/>
    </row>
    <row r="192" spans="1:27">
      <c r="B192" s="1337"/>
      <c r="C192" s="1337"/>
      <c r="D192" s="1337"/>
      <c r="E192" s="1337"/>
      <c r="F192" s="1402"/>
      <c r="G192" s="1401"/>
      <c r="H192" s="1400"/>
      <c r="I192" s="1337"/>
      <c r="J192" s="1337"/>
      <c r="K192" s="1337"/>
      <c r="L192" s="1337"/>
      <c r="N192"/>
      <c r="O192"/>
      <c r="P192"/>
      <c r="Q192"/>
      <c r="R192"/>
      <c r="S192"/>
      <c r="T192"/>
      <c r="U192"/>
      <c r="V192"/>
      <c r="W192"/>
      <c r="X192"/>
      <c r="Y192"/>
      <c r="Z192"/>
      <c r="AA192"/>
    </row>
    <row r="193" spans="1:27">
      <c r="B193" s="1337"/>
      <c r="C193" s="1337"/>
      <c r="D193" s="1337"/>
      <c r="E193" s="1337"/>
      <c r="F193" s="1402"/>
      <c r="G193" s="1401"/>
      <c r="H193" s="1400"/>
      <c r="I193" s="1337"/>
      <c r="J193" s="1337"/>
      <c r="K193" s="1337"/>
      <c r="L193" s="1337"/>
      <c r="N193"/>
      <c r="O193"/>
      <c r="P193"/>
      <c r="Q193"/>
      <c r="R193"/>
      <c r="S193"/>
      <c r="T193"/>
      <c r="U193"/>
      <c r="V193"/>
      <c r="W193"/>
      <c r="X193"/>
      <c r="Y193"/>
      <c r="Z193"/>
      <c r="AA193"/>
    </row>
    <row r="194" spans="1:27">
      <c r="B194" s="1337"/>
      <c r="C194" s="1337"/>
      <c r="D194" s="1337"/>
      <c r="E194" s="1337"/>
      <c r="F194" s="1402"/>
      <c r="G194" s="1401"/>
      <c r="H194" s="1400"/>
      <c r="I194" s="1337"/>
      <c r="J194" s="1337"/>
      <c r="K194" s="1337"/>
      <c r="L194" s="1337"/>
      <c r="N194"/>
      <c r="O194"/>
      <c r="P194"/>
      <c r="Q194"/>
      <c r="R194"/>
      <c r="S194"/>
      <c r="T194"/>
      <c r="U194"/>
      <c r="V194"/>
      <c r="W194"/>
      <c r="X194"/>
      <c r="Y194"/>
      <c r="Z194"/>
      <c r="AA194"/>
    </row>
    <row r="195" spans="1:27">
      <c r="B195" s="1337"/>
      <c r="C195" s="1337"/>
      <c r="D195" s="1337"/>
      <c r="E195" s="1337"/>
      <c r="F195" s="1402"/>
      <c r="G195" s="1401"/>
      <c r="H195" s="1400"/>
      <c r="I195" s="1337"/>
      <c r="J195" s="1337"/>
      <c r="K195" s="1337"/>
      <c r="L195" s="1337"/>
      <c r="N195"/>
      <c r="O195"/>
      <c r="P195"/>
      <c r="Q195"/>
      <c r="R195"/>
      <c r="S195"/>
      <c r="T195"/>
      <c r="U195"/>
      <c r="V195"/>
      <c r="W195"/>
      <c r="X195"/>
      <c r="Y195"/>
      <c r="Z195"/>
      <c r="AA195"/>
    </row>
    <row r="196" spans="1:27">
      <c r="B196" s="1337"/>
      <c r="C196" s="1337"/>
      <c r="D196" s="1337"/>
      <c r="E196" s="1337"/>
      <c r="F196" s="1402"/>
      <c r="G196" s="1401"/>
      <c r="H196" s="1400"/>
      <c r="I196" s="1337"/>
      <c r="J196" s="1337"/>
      <c r="K196" s="1337"/>
      <c r="L196" s="1337"/>
      <c r="N196"/>
      <c r="O196"/>
      <c r="P196"/>
      <c r="Q196"/>
      <c r="R196"/>
      <c r="S196"/>
      <c r="T196"/>
      <c r="U196"/>
      <c r="V196"/>
      <c r="W196"/>
      <c r="X196"/>
      <c r="Y196"/>
      <c r="Z196"/>
      <c r="AA196"/>
    </row>
    <row r="197" spans="1:27">
      <c r="A197"/>
      <c r="B197" s="1337"/>
      <c r="C197" s="1337"/>
      <c r="D197" s="1337"/>
      <c r="E197" s="1337"/>
      <c r="F197" s="1402"/>
      <c r="G197" s="1401"/>
      <c r="H197" s="1400"/>
      <c r="I197" s="1337"/>
      <c r="J197" s="1337"/>
      <c r="K197" s="1337"/>
      <c r="L197" s="1337"/>
      <c r="N197"/>
      <c r="O197"/>
      <c r="P197"/>
      <c r="Q197"/>
      <c r="R197"/>
      <c r="S197"/>
      <c r="T197"/>
      <c r="U197"/>
      <c r="V197"/>
      <c r="W197"/>
      <c r="X197"/>
      <c r="Y197"/>
      <c r="Z197"/>
      <c r="AA197"/>
    </row>
    <row r="198" spans="1:27" ht="16.5">
      <c r="A198"/>
      <c r="B198" s="1337"/>
      <c r="C198" s="1337"/>
      <c r="D198" s="1337"/>
      <c r="E198" s="1337"/>
      <c r="F198" s="1402"/>
      <c r="G198" s="1401"/>
      <c r="H198" s="1400"/>
      <c r="I198" s="1337"/>
      <c r="J198" s="1337"/>
      <c r="K198" s="1337"/>
      <c r="L198" s="1337"/>
      <c r="M198"/>
      <c r="N198"/>
      <c r="O198"/>
      <c r="P198"/>
      <c r="Q198"/>
      <c r="R198"/>
      <c r="S198"/>
      <c r="T198"/>
      <c r="U198"/>
      <c r="V198"/>
      <c r="W198"/>
      <c r="X198"/>
      <c r="Y198"/>
      <c r="Z198"/>
      <c r="AA198"/>
    </row>
    <row r="199" spans="1:27" ht="16.5">
      <c r="A199"/>
      <c r="B199" s="1337"/>
      <c r="C199" s="1337"/>
      <c r="D199" s="1337"/>
      <c r="E199" s="1337"/>
      <c r="F199" s="1402"/>
      <c r="G199" s="1401"/>
      <c r="H199" s="1400"/>
      <c r="I199" s="1337"/>
      <c r="J199" s="1337"/>
      <c r="K199" s="1337"/>
      <c r="L199" s="1337"/>
      <c r="M199"/>
      <c r="N199"/>
      <c r="O199"/>
      <c r="P199"/>
      <c r="Q199"/>
      <c r="R199"/>
      <c r="S199"/>
      <c r="T199"/>
      <c r="U199"/>
      <c r="V199"/>
      <c r="W199"/>
      <c r="X199"/>
      <c r="Y199"/>
      <c r="Z199"/>
      <c r="AA199"/>
    </row>
    <row r="200" spans="1:27" ht="16.5">
      <c r="A200"/>
      <c r="B200" s="1337"/>
      <c r="C200" s="1337"/>
      <c r="D200" s="1337"/>
      <c r="E200" s="1337"/>
      <c r="F200" s="1402"/>
      <c r="G200" s="1401"/>
      <c r="H200" s="1400"/>
      <c r="I200" s="1337"/>
      <c r="J200" s="1337"/>
      <c r="K200" s="1337"/>
      <c r="L200" s="1337"/>
      <c r="M200"/>
      <c r="N200"/>
      <c r="O200"/>
      <c r="P200"/>
      <c r="Q200"/>
      <c r="R200"/>
      <c r="S200"/>
      <c r="T200"/>
      <c r="U200"/>
      <c r="V200"/>
      <c r="W200"/>
      <c r="X200"/>
      <c r="Y200"/>
      <c r="Z200"/>
      <c r="AA200"/>
    </row>
    <row r="201" spans="1:27" ht="16.5">
      <c r="A201"/>
      <c r="B201" s="1337"/>
      <c r="C201" s="1337"/>
      <c r="D201" s="1337"/>
      <c r="E201" s="1337"/>
      <c r="F201" s="1402"/>
      <c r="G201" s="1401"/>
      <c r="H201" s="1400"/>
      <c r="I201" s="1337"/>
      <c r="J201" s="1337"/>
      <c r="K201" s="1337"/>
      <c r="L201" s="1337"/>
      <c r="M201"/>
      <c r="N201"/>
      <c r="O201"/>
      <c r="P201"/>
      <c r="Q201"/>
      <c r="R201"/>
      <c r="S201"/>
      <c r="T201"/>
      <c r="U201"/>
      <c r="V201"/>
      <c r="W201"/>
      <c r="X201"/>
      <c r="Y201"/>
      <c r="Z201"/>
      <c r="AA201"/>
    </row>
    <row r="202" spans="1:27" ht="16.5">
      <c r="A202"/>
      <c r="B202" s="1337"/>
      <c r="C202" s="1337"/>
      <c r="D202" s="1337"/>
      <c r="E202" s="1337"/>
      <c r="F202" s="1402"/>
      <c r="G202" s="1401"/>
      <c r="H202" s="1400"/>
      <c r="I202" s="1337"/>
      <c r="J202" s="1337"/>
      <c r="K202" s="1337"/>
      <c r="L202" s="1337"/>
      <c r="M202"/>
      <c r="N202"/>
      <c r="O202"/>
      <c r="P202"/>
      <c r="Q202"/>
      <c r="R202"/>
      <c r="S202"/>
      <c r="T202"/>
      <c r="U202"/>
      <c r="V202"/>
      <c r="W202"/>
      <c r="X202"/>
      <c r="Y202"/>
      <c r="Z202"/>
      <c r="AA202"/>
    </row>
    <row r="203" spans="1:27" ht="16.5">
      <c r="A203"/>
      <c r="B203" s="1337"/>
      <c r="C203" s="1337"/>
      <c r="D203" s="1337"/>
      <c r="E203" s="1337"/>
      <c r="F203" s="1402"/>
      <c r="G203" s="1401"/>
      <c r="H203" s="1400"/>
      <c r="I203" s="1337"/>
      <c r="J203" s="1337"/>
      <c r="K203" s="1337"/>
      <c r="L203" s="1337"/>
      <c r="M203"/>
      <c r="N203"/>
      <c r="O203"/>
      <c r="P203"/>
      <c r="Q203"/>
      <c r="R203"/>
      <c r="S203"/>
      <c r="T203"/>
      <c r="U203"/>
      <c r="V203"/>
      <c r="W203"/>
      <c r="X203"/>
      <c r="Y203"/>
      <c r="Z203"/>
      <c r="AA203"/>
    </row>
    <row r="204" spans="1:27" ht="16.5">
      <c r="A204"/>
      <c r="B204" s="1337"/>
      <c r="C204" s="1337"/>
      <c r="D204" s="1337"/>
      <c r="E204" s="1337"/>
      <c r="F204" s="1402"/>
      <c r="G204" s="1401"/>
      <c r="H204" s="1400"/>
      <c r="I204" s="1337"/>
      <c r="J204" s="1337"/>
      <c r="K204" s="1337"/>
      <c r="L204" s="1337"/>
      <c r="M204"/>
      <c r="N204"/>
      <c r="O204"/>
      <c r="P204"/>
      <c r="Q204"/>
      <c r="R204"/>
      <c r="S204"/>
      <c r="T204"/>
      <c r="U204"/>
      <c r="V204"/>
      <c r="W204"/>
      <c r="X204"/>
      <c r="Y204"/>
      <c r="Z204"/>
      <c r="AA204"/>
    </row>
    <row r="205" spans="1:27" ht="16.5">
      <c r="A205"/>
      <c r="B205" s="1337"/>
      <c r="C205" s="1337"/>
      <c r="D205" s="1337"/>
      <c r="E205" s="1337"/>
      <c r="F205" s="1402"/>
      <c r="G205" s="1401"/>
      <c r="H205" s="1400"/>
      <c r="I205" s="1337"/>
      <c r="J205" s="1337"/>
      <c r="K205" s="1337"/>
      <c r="L205" s="1337"/>
      <c r="M205"/>
      <c r="N205"/>
      <c r="O205"/>
      <c r="P205"/>
      <c r="Q205"/>
      <c r="R205"/>
      <c r="S205"/>
      <c r="T205"/>
      <c r="U205"/>
      <c r="V205"/>
      <c r="W205"/>
      <c r="X205"/>
      <c r="Y205"/>
      <c r="Z205"/>
      <c r="AA205"/>
    </row>
    <row r="206" spans="1:27" ht="16.5">
      <c r="A206"/>
      <c r="B206" s="1337"/>
      <c r="C206" s="1337"/>
      <c r="D206" s="1337"/>
      <c r="E206" s="1337"/>
      <c r="F206" s="1402"/>
      <c r="G206" s="1401"/>
      <c r="H206" s="1400"/>
      <c r="I206" s="1337"/>
      <c r="J206" s="1337"/>
      <c r="K206" s="1337"/>
      <c r="L206" s="1337"/>
      <c r="M206"/>
      <c r="N206"/>
      <c r="O206"/>
      <c r="P206"/>
      <c r="Q206"/>
      <c r="R206"/>
      <c r="S206"/>
      <c r="T206"/>
      <c r="U206"/>
      <c r="V206"/>
      <c r="W206"/>
      <c r="X206"/>
      <c r="Y206"/>
      <c r="Z206"/>
      <c r="AA206"/>
    </row>
    <row r="207" spans="1:27" ht="16.5">
      <c r="A207"/>
      <c r="B207" s="1337"/>
      <c r="C207" s="1337"/>
      <c r="D207" s="1337"/>
      <c r="E207" s="1337"/>
      <c r="F207" s="1402"/>
      <c r="G207" s="1401"/>
      <c r="H207" s="1400"/>
      <c r="I207" s="1337"/>
      <c r="J207" s="1337"/>
      <c r="K207" s="1337"/>
      <c r="L207" s="1337"/>
      <c r="M207"/>
      <c r="N207"/>
      <c r="O207"/>
      <c r="P207"/>
      <c r="Q207"/>
      <c r="R207"/>
      <c r="S207"/>
      <c r="T207"/>
      <c r="U207"/>
      <c r="V207"/>
      <c r="W207"/>
      <c r="X207"/>
      <c r="Y207"/>
      <c r="Z207"/>
      <c r="AA207"/>
    </row>
    <row r="208" spans="1:27" ht="16.5">
      <c r="A208"/>
      <c r="B208" s="1337"/>
      <c r="C208" s="1337"/>
      <c r="D208" s="1337"/>
      <c r="E208" s="1337"/>
      <c r="F208" s="1402"/>
      <c r="G208" s="1401"/>
      <c r="H208" s="1400"/>
      <c r="I208" s="1337"/>
      <c r="J208" s="1337"/>
      <c r="K208" s="1337"/>
      <c r="L208" s="1337"/>
      <c r="M208"/>
      <c r="N208"/>
      <c r="O208"/>
      <c r="P208"/>
      <c r="Q208"/>
      <c r="R208"/>
      <c r="S208"/>
      <c r="T208"/>
      <c r="U208"/>
      <c r="V208"/>
      <c r="W208"/>
      <c r="X208"/>
      <c r="Y208"/>
      <c r="Z208"/>
      <c r="AA208"/>
    </row>
    <row r="209" spans="1:27">
      <c r="A209"/>
      <c r="B209" s="1337"/>
      <c r="C209" s="1337"/>
      <c r="D209" s="1337"/>
      <c r="E209" s="1337"/>
      <c r="F209" s="1402"/>
      <c r="G209" s="1401"/>
      <c r="H209" s="1400"/>
      <c r="I209" s="1337"/>
      <c r="J209" s="1337"/>
      <c r="L209" s="1337"/>
      <c r="M209"/>
      <c r="N209"/>
      <c r="O209"/>
      <c r="P209"/>
      <c r="Q209"/>
      <c r="R209"/>
      <c r="S209"/>
      <c r="T209"/>
      <c r="U209"/>
      <c r="V209"/>
      <c r="W209"/>
      <c r="X209"/>
      <c r="Y209"/>
      <c r="Z209"/>
      <c r="AA209"/>
    </row>
    <row r="210" spans="1:27">
      <c r="A210"/>
      <c r="B210" s="1337"/>
      <c r="C210" s="1337"/>
      <c r="D210" s="1337"/>
      <c r="E210" s="1337"/>
      <c r="F210" s="1402"/>
      <c r="G210" s="1401"/>
      <c r="H210" s="1400"/>
      <c r="I210" s="1337"/>
      <c r="J210" s="1337"/>
      <c r="L210" s="1337"/>
      <c r="M210"/>
      <c r="N210"/>
      <c r="O210"/>
      <c r="P210"/>
      <c r="Q210"/>
      <c r="R210"/>
      <c r="S210"/>
      <c r="T210"/>
      <c r="U210"/>
      <c r="V210"/>
      <c r="W210"/>
      <c r="X210"/>
      <c r="Y210"/>
      <c r="Z210"/>
      <c r="AA210"/>
    </row>
    <row r="211" spans="1:27">
      <c r="A211"/>
      <c r="B211" s="1337"/>
      <c r="C211" s="1337"/>
      <c r="D211" s="1337"/>
      <c r="E211" s="1337"/>
      <c r="F211" s="1402"/>
      <c r="G211" s="1401"/>
      <c r="H211" s="1400"/>
      <c r="I211" s="1337"/>
      <c r="J211" s="1337"/>
      <c r="L211" s="1337"/>
      <c r="M211"/>
      <c r="N211"/>
      <c r="O211"/>
      <c r="P211"/>
      <c r="Q211"/>
      <c r="R211"/>
      <c r="S211"/>
      <c r="T211"/>
      <c r="U211"/>
      <c r="V211"/>
      <c r="W211"/>
      <c r="X211"/>
      <c r="Y211"/>
      <c r="Z211"/>
      <c r="AA211"/>
    </row>
    <row r="212" spans="1:27">
      <c r="A212"/>
      <c r="B212" s="1337"/>
      <c r="C212" s="1337"/>
      <c r="D212" s="1337"/>
      <c r="E212" s="1337"/>
      <c r="F212" s="1402"/>
      <c r="G212" s="1401"/>
      <c r="H212" s="1400"/>
      <c r="I212" s="1337"/>
      <c r="J212" s="1337"/>
      <c r="L212" s="1337"/>
      <c r="M212"/>
      <c r="N212"/>
      <c r="O212"/>
      <c r="P212"/>
      <c r="Q212"/>
      <c r="R212"/>
      <c r="S212"/>
      <c r="T212"/>
      <c r="U212"/>
      <c r="V212"/>
      <c r="W212"/>
      <c r="X212"/>
      <c r="Y212"/>
      <c r="Z212"/>
      <c r="AA212"/>
    </row>
    <row r="213" spans="1:27">
      <c r="A213"/>
      <c r="B213" s="1337"/>
      <c r="C213" s="1337"/>
      <c r="D213" s="1337"/>
      <c r="E213" s="1337"/>
      <c r="F213" s="1402"/>
      <c r="G213" s="1401"/>
      <c r="H213" s="1400"/>
      <c r="I213" s="1337"/>
      <c r="J213" s="1337"/>
      <c r="L213" s="1337"/>
      <c r="M213"/>
      <c r="N213"/>
      <c r="O213"/>
      <c r="P213"/>
      <c r="Q213"/>
      <c r="R213"/>
      <c r="S213"/>
      <c r="T213"/>
      <c r="U213"/>
      <c r="V213"/>
      <c r="W213"/>
      <c r="X213"/>
      <c r="Y213"/>
      <c r="Z213"/>
      <c r="AA213"/>
    </row>
    <row r="214" spans="1:27">
      <c r="B214" s="1337"/>
      <c r="C214" s="1337"/>
      <c r="D214" s="1337"/>
      <c r="E214" s="1337"/>
      <c r="F214" s="1402"/>
      <c r="G214" s="1401"/>
      <c r="H214" s="1400"/>
      <c r="I214" s="1337"/>
      <c r="J214" s="1337"/>
      <c r="K214"/>
      <c r="L214" s="1337"/>
      <c r="M214"/>
    </row>
  </sheetData>
  <mergeCells count="10">
    <mergeCell ref="B5:B6"/>
    <mergeCell ref="C5:C6"/>
    <mergeCell ref="D5:D6"/>
    <mergeCell ref="M5:M6"/>
    <mergeCell ref="L5:L6"/>
    <mergeCell ref="F5:F6"/>
    <mergeCell ref="G5:G6"/>
    <mergeCell ref="H5:H6"/>
    <mergeCell ref="I5:K5"/>
    <mergeCell ref="E5:E6"/>
  </mergeCells>
  <dataValidations count="1">
    <dataValidation allowBlank="1" showInputMessage="1" showErrorMessage="1" promptTitle="Tra mã trong Suất vốn đầu tư" prompt="Ô tra mã theo văn bản công bố suất vốn đầu tư xây dựng công trình và giá xây dựng tổng hợp bộ phận kết cấu công trình_x000a_" sqref="C11:C13 C22:C25"/>
  </dataValidations>
  <hyperlinks>
    <hyperlink ref="M9" r:id="rId1" location="dieu-5-noi-dung-tong-muc-dau-tu-xay-dung"/>
    <hyperlink ref="M20" r:id="rId2" location="dieu-5-noi-dung-tong-muc-dau-tu-xay-dung" display="Điểm b Khoản 2 Điều 5 Nghị định số 10/2021/NĐ-CP"/>
    <hyperlink ref="M105" r:id="rId3" location="dieu-5-noi-dung-tong-muc-dau-tu-xay-dung" display="Điểm b Khoản 2 Điều 5 Nghị định số 10/2021/NĐ-CP"/>
    <hyperlink ref="M144" r:id="rId4" location="dieu-5-noi-dung-tong-muc-dau-tu-xay-dung" display="Điểm b Khoản 2 Điều 5 Nghị định số 10/2021/NĐ-CP"/>
    <hyperlink ref="M147" r:id="rId5" location="dieu-5-noi-dung-tong-muc-dau-tu-xay-dung" display="Điểm b Khoản 2 Điều 5 Nghị định số 10/2021/NĐ-CP"/>
    <hyperlink ref="M54" r:id="rId6" location="dieu-5-noi-dung-tong-muc-dau-tu-xay-dung" display="Điểm b Khoản 2 Điều 5 Nghị định số 10/2021/NĐ-CP"/>
    <hyperlink ref="M8" r:id="rId7" location="dieu-5-noi-dung-tong-muc-dau-tu-xay-dung" display="Điểm b Khoản 2 Điều 5 Nghị định số 10/2021/NĐ-CP"/>
    <hyperlink ref="D8" r:id="rId8" location="_2-1-xac-dinh-chi-phi-boi-thuong-ho-tro-va-tai-dinh-cu" display="Chi phí bồi thường, hỗ trợ, tái định cư"/>
    <hyperlink ref="D9" r:id="rId9" location="_2-2-xac-dinh-chi-phi-xay-dung" display="Chi phí xây dựng"/>
    <hyperlink ref="D20" r:id="rId10" location="_2-3-xac-dinh-chi-phi-thiet-bi" display="Chi phí thiết bị"/>
    <hyperlink ref="D36" r:id="rId11" location="_2-4-xac-dinh-chi-phi-quan-ly-du-an-chi-phi-tu-van-dau-tu-xay-dung-va-cac-chi-phi-khac" display="Chi phí quản lý dự án "/>
    <hyperlink ref="D54" r:id="rId12" location="dieu-13-chi-phi-thue-tu-van-dau-tu-xay-dung" display="Chi phí tư vấn đầu tư xây dựng"/>
    <hyperlink ref="D105" r:id="rId13" location="_2-4-xac-dinh-chi-phi-quan-ly-du-an-chi-phi-tu-van-dau-tu-xay-dung-va-cac-chi-phi-khac" display="Chi phí khác"/>
    <hyperlink ref="D144" r:id="rId14" location="_2-5-xac-dinh-chi-phi-du-phong" display="Chi phí dự phòng"/>
    <hyperlink ref="B1" r:id="rId15" location="bang-1-2-tong-hop-tong-muc-dau-tu-xay-dung"/>
    <hyperlink ref="M36" r:id="rId16" location="bang-1-1-dinh-muc-chi-phi-quan-ly-du-an"/>
    <hyperlink ref="G5:G6" r:id="rId17" display="SUẤT VỐN ĐẦU TƯ, ĐƠN GIÁ"/>
    <hyperlink ref="F5:F6" r:id="rId18" location="_3-do-boc-theo-dien-tich-quy-mo-cong-suat-hoac-nang-luc-phuc-vu-theo-thiet-ke-cong-trinh" display="KHỐI LƯỢNG"/>
    <hyperlink ref="M145" r:id="rId19" location="_6-xac-dinh-chi-phi-du-phong-gdp"/>
    <hyperlink ref="M146" r:id="rId20" location="_6-xac-dinh-chi-phi-du-phong-gdp"/>
    <hyperlink ref="E147" r:id="rId21" location="ii-phuong-phap-xac-dinh-tong-muc-dau-tu-xay-dung"/>
    <hyperlink ref="E5:E6" r:id="rId22" location="dieu-6-xac-dinh-tong-muc-dau-tu-xay-dung" display="CÁCH TÍNH"/>
    <hyperlink ref="M55" r:id="rId23" location="bang-2-1-dinh-muc-chi-phi-lap-bao-cao-nghien-cuu-tien-kha-thi"/>
    <hyperlink ref="M60" r:id="rId24" location="bang-2-14-dinh-muc-chi-phi-tham-tra-bao-cao-nghien-cuu-tien-kha-thi"/>
    <hyperlink ref="M64" r:id="rId25" location="bang-2-2-dinh-muc-chi-phi-lap-bao-cao-nghien-cuu-kha-thi"/>
    <hyperlink ref="M69" r:id="rId26" location="bang-2-15-dinh-muc-chi-phi-tham-tra-bao-cao-nghien-cuu-kha-thi"/>
    <hyperlink ref="M73" r:id="rId27" location="_3-huong-dan-ap-dung-dinh-muc-chi-phi-thiet-ke-xay-dung" display="Mục 3 Chương II Phụ lục 8 Thông tư số 12/2021/TT-BXD: "/>
    <hyperlink ref="M79" r:id="rId28" location="_3-huong-dan-ap-dung-dinh-muc-chi-phi-thiet-ke-xay-dung" display="Mục 3 Chương II Phụ lục 8 Thông tư số 12/2021/TT-BXD: "/>
    <hyperlink ref="M85" r:id="rId29" location="bang-2-16-dinh-muc-chi-phi-tham-tra-thiet-ke-xay-dung"/>
    <hyperlink ref="M90" r:id="rId30" location="bang-2-17-dinh-muc-chi-phi-tham-tra-du-toan-xay-dung"/>
    <hyperlink ref="M95" r:id="rId31" location="bang-2-19-dinh-muc-chi-phi-lap-ho-so-moi-thau-danh-gia-ho-so-du-thau-thi-cong-xay-dung"/>
    <hyperlink ref="M96" r:id="rId32" location="bang-2-21-dinh-muc-chi-phi-giam-sat-thi-cong-xay-dung"/>
    <hyperlink ref="M101" r:id="rId33" location="bang-2-24-dinh-muc-chi-phi-quy-doi-von-dau-tu-xay-dung"/>
    <hyperlink ref="M116" r:id="rId34"/>
    <hyperlink ref="M140" r:id="rId35" location="chuong-i-quy-dinh-chung"/>
    <hyperlink ref="M141" r:id="rId36" location="dieu-3-quan-trac-cong-trinh-trong-qua-trinh-thi-cong-xay-dung"/>
    <hyperlink ref="M121" r:id="rId37"/>
    <hyperlink ref="M107" r:id="rId38"/>
    <hyperlink ref="M111" r:id="rId39"/>
    <hyperlink ref="M127" r:id="rId40" location="dieu-46-chi-phi-kiem-toan-doc-lap-va-chi-phi-tham-tra-phe-duyet-quyet-toan" display="Điểm d Khoản 1 Điều 46 Nghị định  99/2021/ND-CP ngày 11/11/2021"/>
    <hyperlink ref="M131" r:id="rId41" location="dieu-46-chi-phi-kiem-toan-doc-lap-va-chi-phi-tham-tra-phe-duyet-quyet-toan" display="Điểm d Khoản 1 Điều 46 Nghị định  99/2021/ND-CP ngày 11/11/2021"/>
  </hyperlinks>
  <pageMargins left="0.74803149606299213" right="0.23622047244094491" top="0.51181102362204722" bottom="0.51181102362204722" header="0.23622047244094491" footer="0.23622047244094491"/>
  <pageSetup paperSize="9" scale="52" fitToHeight="0" orientation="landscape" r:id="rId42"/>
  <colBreaks count="1" manualBreakCount="1">
    <brk id="12" max="1048575" man="1"/>
  </colBreaks>
  <ignoredErrors>
    <ignoredError sqref="I10:K10 E17 J19:K19 I21:K21 I26:K27 J32:K32 K55:K60 B56:B59 B80:B83 K85 K90 B91:B94 K96:K103 E126 K126:K127 K131 K145:K146 K107:K124 D79 K79 B97:B100 B61:B63 B65:B68 B70:B72 B86:B87 B102:B103 D64 D69:E69 K64:K77 D73 I16:K16" unlockedFormula="1"/>
    <ignoredError sqref="J54" formula="1"/>
  </ignoredErrors>
  <drawing r:id="rId43"/>
  <legacyDrawing r:id="rId44"/>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FF0000"/>
  </sheetPr>
  <dimension ref="A1:AB602"/>
  <sheetViews>
    <sheetView showZeros="0" zoomScale="70" zoomScaleNormal="70" zoomScaleSheetLayoutView="100" workbookViewId="0">
      <selection activeCell="A18" sqref="A18:A96"/>
    </sheetView>
  </sheetViews>
  <sheetFormatPr defaultColWidth="9" defaultRowHeight="15.75"/>
  <cols>
    <col min="1" max="1" width="3.5703125" style="55" customWidth="1"/>
    <col min="2" max="2" width="3.85546875" style="55" customWidth="1"/>
    <col min="3" max="3" width="58.5703125" style="55" customWidth="1"/>
    <col min="4" max="12" width="12.5703125" style="55" customWidth="1"/>
    <col min="13" max="14" width="13.7109375" style="55" customWidth="1"/>
    <col min="15" max="15" width="14.140625" style="55" customWidth="1"/>
    <col min="16" max="16" width="14.140625" style="1219" customWidth="1"/>
    <col min="17" max="17" width="15.42578125" style="1219" customWidth="1"/>
    <col min="18" max="18" width="10" style="1219" bestFit="1" customWidth="1"/>
    <col min="19" max="19" width="10.85546875" style="1219" bestFit="1" customWidth="1"/>
    <col min="20" max="20" width="11" style="1219" bestFit="1" customWidth="1"/>
    <col min="21" max="21" width="10" style="1219" bestFit="1" customWidth="1"/>
    <col min="22" max="22" width="10.140625" style="55" bestFit="1" customWidth="1"/>
    <col min="23" max="16384" width="9" style="55"/>
  </cols>
  <sheetData>
    <row r="1" spans="2:18" ht="22.5">
      <c r="C1" s="257" t="s">
        <v>65</v>
      </c>
      <c r="D1" s="54"/>
      <c r="E1" s="54"/>
      <c r="F1" s="54"/>
      <c r="G1" s="54"/>
      <c r="H1" s="54"/>
      <c r="I1" s="54"/>
      <c r="M1" s="1451"/>
      <c r="N1" s="1451"/>
      <c r="O1" s="1451"/>
      <c r="P1" s="1452"/>
      <c r="Q1" s="1453"/>
      <c r="R1" s="1452"/>
    </row>
    <row r="2" spans="2:18">
      <c r="M2" s="1451"/>
      <c r="N2" s="1451"/>
      <c r="O2" s="1451"/>
      <c r="P2" s="1452"/>
      <c r="Q2" s="1453"/>
      <c r="R2" s="1452"/>
    </row>
    <row r="3" spans="2:18">
      <c r="B3" s="1522" t="s">
        <v>841</v>
      </c>
      <c r="C3" s="1522"/>
      <c r="D3" s="1523" t="s">
        <v>1328</v>
      </c>
      <c r="E3" s="1523" t="s">
        <v>1329</v>
      </c>
      <c r="M3" s="1451"/>
      <c r="N3" s="1451"/>
      <c r="O3" s="1451"/>
      <c r="P3" s="1452"/>
      <c r="Q3" s="1453"/>
      <c r="R3" s="1452"/>
    </row>
    <row r="4" spans="2:18">
      <c r="B4" s="1193">
        <v>1</v>
      </c>
      <c r="C4" s="992" t="s">
        <v>644</v>
      </c>
      <c r="D4" s="992">
        <f>Ts!$L$21</f>
        <v>1</v>
      </c>
      <c r="E4" s="992">
        <f>D4</f>
        <v>1</v>
      </c>
      <c r="F4" s="79"/>
      <c r="M4" s="1451"/>
      <c r="N4" s="1451"/>
      <c r="O4" s="1451"/>
      <c r="P4" s="1453"/>
      <c r="Q4" s="1453"/>
      <c r="R4" s="1453"/>
    </row>
    <row r="5" spans="2:18">
      <c r="B5" s="1193">
        <v>2</v>
      </c>
      <c r="C5" s="992" t="s">
        <v>838</v>
      </c>
      <c r="D5" s="1183">
        <f ca="1">GXDtt/10^9</f>
        <v>0.34403316717430643</v>
      </c>
      <c r="E5" s="992">
        <f>TMDT_CPXD/10^9</f>
        <v>0</v>
      </c>
      <c r="F5" s="79"/>
      <c r="M5" s="1451"/>
      <c r="N5" s="1451"/>
      <c r="O5" s="1451"/>
      <c r="P5" s="1453"/>
      <c r="Q5" s="1453"/>
      <c r="R5" s="1453"/>
    </row>
    <row r="6" spans="2:18">
      <c r="B6" s="1193">
        <v>3</v>
      </c>
      <c r="C6" s="992" t="s">
        <v>839</v>
      </c>
      <c r="D6" s="1183">
        <f ca="1">GTBtt/10^9</f>
        <v>0</v>
      </c>
      <c r="E6" s="992">
        <f>TMDT_CPTB/10^9</f>
        <v>0</v>
      </c>
      <c r="F6" s="79"/>
      <c r="M6" s="1451"/>
      <c r="N6" s="1451"/>
      <c r="O6" s="1451"/>
      <c r="P6" s="1453"/>
      <c r="Q6" s="1453"/>
      <c r="R6" s="1453"/>
    </row>
    <row r="7" spans="2:18">
      <c r="B7" s="1193">
        <v>4</v>
      </c>
      <c r="C7" s="992" t="s">
        <v>846</v>
      </c>
      <c r="D7" s="1183">
        <f>Ts!M32/10^9</f>
        <v>0</v>
      </c>
      <c r="E7" s="1209">
        <f>D7</f>
        <v>0</v>
      </c>
      <c r="F7" s="79"/>
      <c r="M7" s="1451"/>
      <c r="N7" s="1451"/>
      <c r="O7" s="1451"/>
      <c r="P7" s="1453"/>
      <c r="Q7" s="1453"/>
      <c r="R7" s="1453"/>
    </row>
    <row r="8" spans="2:18">
      <c r="B8" s="1193">
        <v>5</v>
      </c>
      <c r="C8" s="992" t="s">
        <v>840</v>
      </c>
      <c r="D8" s="1183">
        <f>Ts!M33/10^9</f>
        <v>0</v>
      </c>
      <c r="E8" s="1209">
        <f>D8</f>
        <v>0</v>
      </c>
      <c r="F8" s="79"/>
      <c r="M8" s="1451"/>
      <c r="N8" s="1451"/>
      <c r="O8" s="1451"/>
      <c r="P8" s="1453"/>
      <c r="Q8" s="1453"/>
      <c r="R8" s="1453"/>
    </row>
    <row r="9" spans="2:18">
      <c r="B9" s="1193">
        <v>6</v>
      </c>
      <c r="C9" s="992" t="s">
        <v>67</v>
      </c>
      <c r="D9" s="969">
        <f>Ts!L15</f>
        <v>2</v>
      </c>
      <c r="E9" s="992">
        <f>D9</f>
        <v>2</v>
      </c>
      <c r="F9" s="79"/>
      <c r="M9" s="1451"/>
      <c r="N9" s="1451"/>
      <c r="O9" s="1451"/>
      <c r="P9" s="1453"/>
      <c r="Q9" s="1453"/>
      <c r="R9" s="1453"/>
    </row>
    <row r="10" spans="2:18">
      <c r="B10" s="1193">
        <v>7</v>
      </c>
      <c r="C10" s="992" t="s">
        <v>87</v>
      </c>
      <c r="D10" s="969">
        <f>Ts!$L$19</f>
        <v>3</v>
      </c>
      <c r="E10" s="992">
        <f t="shared" ref="E10:E14" si="0">D10</f>
        <v>3</v>
      </c>
      <c r="F10" s="79"/>
      <c r="M10" s="1451"/>
      <c r="N10" s="1451"/>
      <c r="O10" s="1451"/>
      <c r="P10" s="1453"/>
      <c r="Q10" s="1453"/>
      <c r="R10" s="1453"/>
    </row>
    <row r="11" spans="2:18">
      <c r="B11" s="1193">
        <v>8</v>
      </c>
      <c r="C11" s="992" t="s">
        <v>81</v>
      </c>
      <c r="D11" s="969">
        <f>Ts!L18</f>
        <v>3</v>
      </c>
      <c r="E11" s="992">
        <f t="shared" si="0"/>
        <v>3</v>
      </c>
      <c r="F11" s="985"/>
      <c r="M11" s="1451"/>
      <c r="N11" s="1451"/>
      <c r="O11" s="1451"/>
      <c r="P11" s="1453"/>
      <c r="Q11" s="1453"/>
      <c r="R11" s="1453"/>
    </row>
    <row r="12" spans="2:18">
      <c r="B12" s="1193">
        <v>9</v>
      </c>
      <c r="C12" s="992" t="s">
        <v>837</v>
      </c>
      <c r="D12" s="969">
        <f>Ts!L20</f>
        <v>1</v>
      </c>
      <c r="E12" s="992">
        <f t="shared" si="0"/>
        <v>1</v>
      </c>
      <c r="F12" s="985"/>
      <c r="M12" s="1451"/>
      <c r="N12" s="1451"/>
      <c r="O12" s="1451"/>
      <c r="P12" s="1453"/>
      <c r="Q12" s="1453"/>
      <c r="R12" s="1453"/>
    </row>
    <row r="13" spans="2:18">
      <c r="B13" s="1193">
        <v>9</v>
      </c>
      <c r="C13" s="969" t="s">
        <v>636</v>
      </c>
      <c r="D13" s="1183">
        <f>GTTV/10^9</f>
        <v>0</v>
      </c>
      <c r="E13" s="992">
        <f t="shared" si="0"/>
        <v>0</v>
      </c>
      <c r="F13" s="985"/>
      <c r="M13" s="1451"/>
      <c r="N13" s="1451"/>
      <c r="O13" s="1451"/>
      <c r="P13" s="1453"/>
      <c r="Q13" s="1453"/>
      <c r="R13" s="1453"/>
    </row>
    <row r="14" spans="2:18">
      <c r="B14" s="1193">
        <v>10</v>
      </c>
      <c r="C14" s="969" t="s">
        <v>637</v>
      </c>
      <c r="D14" s="1183">
        <f>GKS/10^9</f>
        <v>0</v>
      </c>
      <c r="E14" s="992">
        <f t="shared" si="0"/>
        <v>0</v>
      </c>
      <c r="H14"/>
      <c r="J14" s="55">
        <f>LoaiCongTrinh(H14)</f>
        <v>0</v>
      </c>
      <c r="M14" s="1451"/>
      <c r="N14" s="1451"/>
      <c r="O14" s="1451"/>
      <c r="P14" s="1453"/>
      <c r="Q14" s="1453"/>
      <c r="R14" s="1453"/>
    </row>
    <row r="16" spans="2:18">
      <c r="B16" s="1885" t="s">
        <v>736</v>
      </c>
      <c r="C16" s="1219"/>
      <c r="D16" s="1219"/>
      <c r="E16" s="1219"/>
      <c r="F16" s="1219"/>
      <c r="G16" s="1219"/>
      <c r="H16" s="1219"/>
      <c r="I16" s="1219"/>
      <c r="J16" s="1219"/>
      <c r="K16" s="1219"/>
      <c r="L16" s="1219"/>
      <c r="M16" s="1219"/>
      <c r="N16" s="1219"/>
      <c r="O16" s="1219"/>
    </row>
    <row r="17" spans="1:28" ht="20.45" customHeight="1">
      <c r="B17" s="299"/>
      <c r="C17" s="17"/>
      <c r="D17" s="17"/>
      <c r="E17" s="17"/>
      <c r="F17" s="17"/>
      <c r="G17" s="17"/>
      <c r="H17" s="17"/>
      <c r="I17" s="17"/>
      <c r="J17" s="299"/>
      <c r="K17" s="17"/>
      <c r="L17" s="17"/>
      <c r="M17" s="17"/>
      <c r="N17" s="17"/>
      <c r="O17" s="1184" t="s">
        <v>66</v>
      </c>
      <c r="P17" s="2463" t="s">
        <v>1328</v>
      </c>
      <c r="Q17" s="2463"/>
      <c r="R17" s="2463"/>
      <c r="S17" s="2463"/>
      <c r="T17" s="2463"/>
      <c r="U17" s="2463"/>
      <c r="V17" s="2464" t="s">
        <v>1284</v>
      </c>
      <c r="W17" s="2463"/>
      <c r="X17" s="2463"/>
      <c r="Y17" s="2463"/>
      <c r="Z17" s="2463"/>
      <c r="AA17" s="2463"/>
    </row>
    <row r="18" spans="1:28">
      <c r="A18" s="55" t="s">
        <v>1483</v>
      </c>
      <c r="B18" s="1185" t="s">
        <v>33</v>
      </c>
      <c r="C18" s="1185" t="s">
        <v>67</v>
      </c>
      <c r="D18" s="1186" t="s">
        <v>68</v>
      </c>
      <c r="E18" s="1187"/>
      <c r="F18" s="1187"/>
      <c r="G18" s="1187"/>
      <c r="H18" s="1187"/>
      <c r="I18" s="1187"/>
      <c r="J18" s="1187"/>
      <c r="K18" s="1187"/>
      <c r="L18" s="1187"/>
      <c r="M18" s="1187"/>
      <c r="N18" s="1187"/>
      <c r="O18" s="1188"/>
      <c r="P18" s="1210"/>
      <c r="Q18" s="1211"/>
      <c r="R18" s="1210"/>
      <c r="S18" s="1211"/>
      <c r="T18" s="1212"/>
      <c r="U18" s="1213"/>
      <c r="V18" s="1521"/>
      <c r="W18" s="1211"/>
      <c r="X18" s="1210"/>
      <c r="Y18" s="1211"/>
      <c r="Z18" s="1212"/>
      <c r="AA18" s="1213"/>
      <c r="AB18" s="1518"/>
    </row>
    <row r="19" spans="1:28">
      <c r="B19" s="922"/>
      <c r="C19" s="1189"/>
      <c r="D19" s="1204">
        <v>10</v>
      </c>
      <c r="E19" s="911">
        <v>20</v>
      </c>
      <c r="F19" s="1191">
        <v>50</v>
      </c>
      <c r="G19" s="1191">
        <v>100</v>
      </c>
      <c r="H19" s="1191">
        <v>200</v>
      </c>
      <c r="I19" s="1191">
        <v>500</v>
      </c>
      <c r="J19" s="1865">
        <v>1000</v>
      </c>
      <c r="K19" s="1865">
        <v>2000</v>
      </c>
      <c r="L19" s="1865">
        <v>5000</v>
      </c>
      <c r="M19" s="1865">
        <v>10000</v>
      </c>
      <c r="N19" s="1865">
        <v>20000</v>
      </c>
      <c r="O19" s="1865">
        <v>30000</v>
      </c>
      <c r="P19" s="1210" t="s">
        <v>69</v>
      </c>
      <c r="Q19" s="1211" t="s">
        <v>70</v>
      </c>
      <c r="R19" s="1210" t="s">
        <v>71</v>
      </c>
      <c r="S19" s="1211" t="s">
        <v>72</v>
      </c>
      <c r="T19" s="1212" t="s">
        <v>641</v>
      </c>
      <c r="U19" s="1213" t="s">
        <v>411</v>
      </c>
      <c r="V19" s="1521" t="s">
        <v>69</v>
      </c>
      <c r="W19" s="1211" t="s">
        <v>70</v>
      </c>
      <c r="X19" s="1210" t="s">
        <v>71</v>
      </c>
      <c r="Y19" s="1211" t="s">
        <v>72</v>
      </c>
      <c r="Z19" s="1212" t="s">
        <v>641</v>
      </c>
      <c r="AA19" s="1213" t="s">
        <v>411</v>
      </c>
      <c r="AB19" s="1518"/>
    </row>
    <row r="20" spans="1:28">
      <c r="B20" s="1191">
        <v>1</v>
      </c>
      <c r="C20" s="1192" t="s">
        <v>34</v>
      </c>
      <c r="D20" s="912">
        <v>3.4460000000000002</v>
      </c>
      <c r="E20" s="912">
        <v>2.923</v>
      </c>
      <c r="F20" s="912">
        <v>2.61</v>
      </c>
      <c r="G20" s="912">
        <v>2.0169999999999999</v>
      </c>
      <c r="H20" s="912">
        <v>1.8859999999999999</v>
      </c>
      <c r="I20" s="912">
        <v>1.514</v>
      </c>
      <c r="J20" s="912">
        <v>1.2390000000000001</v>
      </c>
      <c r="K20" s="912">
        <v>0.95799999999999996</v>
      </c>
      <c r="L20" s="912">
        <v>0.71099999999999997</v>
      </c>
      <c r="M20" s="912">
        <v>0.51</v>
      </c>
      <c r="N20" s="912">
        <v>0.38100000000000001</v>
      </c>
      <c r="O20" s="911">
        <v>0.30499999999999999</v>
      </c>
      <c r="P20" s="1210">
        <f>IF(U20&lt;=$D$19,$D$19,INDEX($D$19:$O$19,1,MATCH(U20,$D$19:$O$19,1)))</f>
        <v>10</v>
      </c>
      <c r="Q20" s="1211">
        <f>IF(OR(U20&lt;=$D$19,U20&gt;=$O$19 ),P20,INDEX($D$19:$O$19,1,MATCH(U20,$D$19:$O$19,1)+1))</f>
        <v>10</v>
      </c>
      <c r="R20" s="1210">
        <f>INDEX($D$20:$O$24,LCT,MATCH(P20,$D$19:$O$19,1))</f>
        <v>3.5569999999999999</v>
      </c>
      <c r="S20" s="1211">
        <f>INDEX($D$20:$O$24,LCT,MATCH(Q20,$D$19:$O$19,1))</f>
        <v>3.5569999999999999</v>
      </c>
      <c r="T20" s="1212">
        <f>IF(R20=S20,S20,S20-(S20-R20)/(Q20-P20)*(Q20-U20))</f>
        <v>3.5569999999999999</v>
      </c>
      <c r="U20" s="1213">
        <f>IF(D10=1,(D5+D6),(E5+E6))</f>
        <v>0</v>
      </c>
      <c r="V20" s="1521">
        <f>IF(AA20&lt;=$D$19,$D$19,INDEX($D$19:$O$19,1,MATCH(AA20,$D$19:$O$19,1)))</f>
        <v>10</v>
      </c>
      <c r="W20" s="1211">
        <f>IF(OR(AA20&lt;=$D$19,AA20&gt;=$O$19 ),V20,INDEX($D$19:$O$19,1,MATCH(AA20,$D$19:$O$19,1)+1))</f>
        <v>10</v>
      </c>
      <c r="X20" s="1210">
        <f>INDEX($D$20:$O$24,LCT,MATCH(V20,$D$19:$O$19,1))</f>
        <v>3.5569999999999999</v>
      </c>
      <c r="Y20" s="1211">
        <f>INDEX($D$20:$O$24,LCT,MATCH(W20,$D$19:$O$19,1))</f>
        <v>3.5569999999999999</v>
      </c>
      <c r="Z20" s="1212">
        <f>IF(X20=Y20,Y20,Y20-(Y20-X20)/(W20-V20)*(W20-AA20))</f>
        <v>3.5569999999999999</v>
      </c>
      <c r="AA20" s="1213">
        <f>IF(D10=1,(D5+D6),(E5+E6))</f>
        <v>0</v>
      </c>
      <c r="AB20" s="1518"/>
    </row>
    <row r="21" spans="1:28">
      <c r="B21" s="1191">
        <v>2</v>
      </c>
      <c r="C21" s="1192" t="s">
        <v>35</v>
      </c>
      <c r="D21" s="912">
        <v>3.5569999999999999</v>
      </c>
      <c r="E21" s="912">
        <v>3.0179999999999998</v>
      </c>
      <c r="F21" s="912">
        <v>2.694</v>
      </c>
      <c r="G21" s="912">
        <v>2.0819999999999999</v>
      </c>
      <c r="H21" s="912">
        <v>1.9470000000000001</v>
      </c>
      <c r="I21" s="912">
        <v>1.5640000000000001</v>
      </c>
      <c r="J21" s="912">
        <v>1.2789999999999999</v>
      </c>
      <c r="K21" s="912">
        <v>1.103</v>
      </c>
      <c r="L21" s="912">
        <v>0.73399999999999999</v>
      </c>
      <c r="M21" s="912">
        <v>0.52700000000000002</v>
      </c>
      <c r="N21" s="912">
        <v>0.39300000000000002</v>
      </c>
      <c r="O21" s="911">
        <v>0.314</v>
      </c>
      <c r="V21" s="1520"/>
      <c r="W21" s="1219"/>
      <c r="X21" s="1219"/>
      <c r="Y21" s="1219"/>
      <c r="Z21" s="1219"/>
      <c r="AA21" s="1219"/>
      <c r="AB21" s="1518"/>
    </row>
    <row r="22" spans="1:28">
      <c r="B22" s="1191">
        <v>3</v>
      </c>
      <c r="C22" s="1192" t="s">
        <v>36</v>
      </c>
      <c r="D22" s="912">
        <v>3.024</v>
      </c>
      <c r="E22" s="912">
        <v>2.5659999999999998</v>
      </c>
      <c r="F22" s="912">
        <v>2.2919999999999998</v>
      </c>
      <c r="G22" s="912">
        <v>1.7709999999999999</v>
      </c>
      <c r="H22" s="912">
        <v>1.655</v>
      </c>
      <c r="I22" s="912">
        <v>1.329</v>
      </c>
      <c r="J22" s="912">
        <v>1.0880000000000001</v>
      </c>
      <c r="K22" s="912">
        <v>0.93700000000000006</v>
      </c>
      <c r="L22" s="912">
        <v>0.624</v>
      </c>
      <c r="M22" s="912">
        <v>0.44800000000000001</v>
      </c>
      <c r="N22" s="912">
        <v>0.33500000000000002</v>
      </c>
      <c r="O22" s="911">
        <v>0.26800000000000002</v>
      </c>
      <c r="V22" s="1520"/>
      <c r="W22" s="1219"/>
      <c r="X22" s="1219"/>
      <c r="Y22" s="1219"/>
      <c r="Z22" s="1219"/>
      <c r="AA22" s="1219"/>
      <c r="AB22" s="1518"/>
    </row>
    <row r="23" spans="1:28">
      <c r="B23" s="1191">
        <v>4</v>
      </c>
      <c r="C23" s="1192" t="s">
        <v>375</v>
      </c>
      <c r="D23" s="912">
        <v>3.2629999999999999</v>
      </c>
      <c r="E23" s="912">
        <v>2.7690000000000001</v>
      </c>
      <c r="F23" s="912">
        <v>2.4729999999999999</v>
      </c>
      <c r="G23" s="912">
        <v>1.91</v>
      </c>
      <c r="H23" s="912">
        <v>1.786</v>
      </c>
      <c r="I23" s="912">
        <v>1.4339999999999999</v>
      </c>
      <c r="J23" s="912">
        <v>1.1739999999999999</v>
      </c>
      <c r="K23" s="912">
        <v>1.012</v>
      </c>
      <c r="L23" s="912">
        <v>0.67400000000000004</v>
      </c>
      <c r="M23" s="912">
        <v>0.48399999999999999</v>
      </c>
      <c r="N23" s="912">
        <v>0.36099999999999999</v>
      </c>
      <c r="O23" s="911">
        <v>0.28899999999999998</v>
      </c>
      <c r="V23" s="1520"/>
      <c r="W23" s="1219"/>
      <c r="X23" s="1219"/>
      <c r="Y23" s="1219"/>
      <c r="Z23" s="1219"/>
      <c r="AA23" s="1219"/>
      <c r="AB23" s="1518"/>
    </row>
    <row r="24" spans="1:28">
      <c r="B24" s="1191">
        <v>5</v>
      </c>
      <c r="C24" s="1192" t="s">
        <v>38</v>
      </c>
      <c r="D24" s="912">
        <v>2.9009999999999998</v>
      </c>
      <c r="E24" s="912">
        <v>2.4609999999999999</v>
      </c>
      <c r="F24" s="912">
        <v>2.198</v>
      </c>
      <c r="G24" s="912">
        <v>1.593</v>
      </c>
      <c r="H24" s="912">
        <v>1.56</v>
      </c>
      <c r="I24" s="912">
        <v>1.2749999999999999</v>
      </c>
      <c r="J24" s="912">
        <v>1.071</v>
      </c>
      <c r="K24" s="912">
        <v>0.89900000000000002</v>
      </c>
      <c r="L24" s="912">
        <v>0.59899999999999998</v>
      </c>
      <c r="M24" s="912">
        <v>0.42899999999999999</v>
      </c>
      <c r="N24" s="912">
        <v>0.32100000000000001</v>
      </c>
      <c r="O24" s="911">
        <v>0.25700000000000001</v>
      </c>
      <c r="V24" s="1520"/>
      <c r="W24" s="1219"/>
      <c r="X24" s="1219"/>
      <c r="Y24" s="1219"/>
      <c r="Z24" s="1219"/>
      <c r="AA24" s="1219"/>
      <c r="AB24" s="1518"/>
    </row>
    <row r="25" spans="1:28">
      <c r="B25" s="17"/>
      <c r="C25" s="17"/>
      <c r="D25" s="17"/>
      <c r="E25" s="17"/>
      <c r="F25" s="17"/>
      <c r="G25" s="17"/>
      <c r="H25" s="17"/>
      <c r="I25" s="17"/>
      <c r="J25" s="17"/>
      <c r="K25" s="17"/>
      <c r="L25" s="17"/>
      <c r="M25" s="17"/>
      <c r="N25" s="17"/>
      <c r="O25" s="17"/>
      <c r="V25" s="1520"/>
      <c r="W25" s="1219"/>
      <c r="X25" s="1219"/>
      <c r="Y25" s="1219"/>
      <c r="Z25" s="1219"/>
      <c r="AA25" s="1219"/>
      <c r="AB25" s="1518"/>
    </row>
    <row r="26" spans="1:28">
      <c r="B26" s="1885" t="s">
        <v>737</v>
      </c>
      <c r="C26" s="1219"/>
      <c r="D26" s="1219"/>
      <c r="E26" s="1219"/>
      <c r="F26" s="1219"/>
      <c r="G26" s="1219"/>
      <c r="H26" s="1219"/>
      <c r="I26" s="1219"/>
      <c r="J26" s="1219"/>
      <c r="K26" s="1219"/>
      <c r="L26" s="1219"/>
      <c r="M26" s="1219"/>
      <c r="N26" s="1219"/>
      <c r="O26" s="1219"/>
      <c r="V26" s="1520"/>
      <c r="W26" s="1219"/>
      <c r="X26" s="1219"/>
      <c r="Y26" s="1219"/>
      <c r="Z26" s="1219"/>
      <c r="AA26" s="1219"/>
      <c r="AB26" s="1518"/>
    </row>
    <row r="27" spans="1:28">
      <c r="B27" s="299"/>
      <c r="C27" s="17"/>
      <c r="D27" s="17"/>
      <c r="E27" s="17"/>
      <c r="F27" s="17"/>
      <c r="G27" s="17"/>
      <c r="H27" s="17"/>
      <c r="I27" s="17"/>
      <c r="J27" s="17"/>
      <c r="K27" s="17"/>
      <c r="L27" s="17"/>
      <c r="M27" s="17"/>
      <c r="N27" s="17"/>
      <c r="O27" s="1184" t="s">
        <v>66</v>
      </c>
      <c r="V27" s="1520"/>
      <c r="W27" s="1219"/>
      <c r="X27" s="1219"/>
      <c r="Y27" s="1219"/>
      <c r="Z27" s="1219"/>
      <c r="AA27" s="1219"/>
      <c r="AB27" s="1518"/>
    </row>
    <row r="28" spans="1:28">
      <c r="A28" s="55" t="s">
        <v>1483</v>
      </c>
      <c r="B28" s="1185" t="s">
        <v>33</v>
      </c>
      <c r="C28" s="1185" t="s">
        <v>67</v>
      </c>
      <c r="D28" s="2465" t="s">
        <v>68</v>
      </c>
      <c r="E28" s="2465"/>
      <c r="F28" s="2465"/>
      <c r="G28" s="2465"/>
      <c r="H28" s="2465"/>
      <c r="I28" s="2465"/>
      <c r="J28" s="2465"/>
      <c r="K28" s="2465"/>
      <c r="L28" s="2465"/>
      <c r="M28" s="2465"/>
      <c r="N28" s="2465"/>
      <c r="O28" s="2465"/>
      <c r="P28" s="1210" t="s">
        <v>69</v>
      </c>
      <c r="Q28" s="1211" t="s">
        <v>70</v>
      </c>
      <c r="R28" s="1210" t="s">
        <v>71</v>
      </c>
      <c r="S28" s="1211" t="s">
        <v>72</v>
      </c>
      <c r="T28" s="1212" t="s">
        <v>641</v>
      </c>
      <c r="U28" s="1213" t="s">
        <v>411</v>
      </c>
      <c r="V28" s="1521" t="s">
        <v>69</v>
      </c>
      <c r="W28" s="1211" t="s">
        <v>70</v>
      </c>
      <c r="X28" s="1210" t="s">
        <v>71</v>
      </c>
      <c r="Y28" s="1211" t="s">
        <v>72</v>
      </c>
      <c r="Z28" s="1212" t="s">
        <v>641</v>
      </c>
      <c r="AA28" s="1213" t="s">
        <v>411</v>
      </c>
      <c r="AB28" s="1518"/>
    </row>
    <row r="29" spans="1:28">
      <c r="B29" s="922"/>
      <c r="C29" s="1189"/>
      <c r="D29" s="1204">
        <v>15</v>
      </c>
      <c r="E29" s="911">
        <v>20</v>
      </c>
      <c r="F29" s="1191">
        <v>50</v>
      </c>
      <c r="G29" s="1191">
        <v>100</v>
      </c>
      <c r="H29" s="1191">
        <v>200</v>
      </c>
      <c r="I29" s="1191">
        <v>500</v>
      </c>
      <c r="J29" s="1865">
        <v>1000</v>
      </c>
      <c r="K29" s="1865">
        <v>2000</v>
      </c>
      <c r="L29" s="1865">
        <v>5000</v>
      </c>
      <c r="M29" s="1865">
        <v>10000</v>
      </c>
      <c r="N29" s="1865">
        <v>20000</v>
      </c>
      <c r="O29" s="1865">
        <v>30000</v>
      </c>
      <c r="P29" s="1210">
        <f>IF(U29&lt;=$D$29,$D$29,INDEX($D$29:$O$29,1,MATCH(U29,$D$29:$O$29,1)))</f>
        <v>15</v>
      </c>
      <c r="Q29" s="1211">
        <f>IF(OR(U29&lt;=$D$29,U29&gt;=$O$29 ),P29,INDEX($D$29:$O$29,1,MATCH(U29,$D$29:$O$29,1)+1))</f>
        <v>15</v>
      </c>
      <c r="R29" s="1210">
        <f>INDEX($D$30:$O$34,LCT,MATCH(P29,$D$29:$O$29,1))</f>
        <v>0.75700000000000001</v>
      </c>
      <c r="S29" s="1211">
        <f>INDEX($D$30:$O$34,LCT,MATCH(Q29,$D$29:$O$29,1))</f>
        <v>0.75700000000000001</v>
      </c>
      <c r="T29" s="1212">
        <f>IF(R29=S29,S29,S29-(S29-R29)/(Q29-P29)*(Q29-U29))</f>
        <v>0.75700000000000001</v>
      </c>
      <c r="U29" s="1213">
        <f>E5+E6</f>
        <v>0</v>
      </c>
      <c r="V29" s="1521">
        <f>IF(AA29&lt;=$D$29,$D$29,INDEX($D$29:$O$29,1,MATCH(AA29,$D$29:$O$29,1)))</f>
        <v>15</v>
      </c>
      <c r="W29" s="1211">
        <f>IF(OR(AA29&lt;=$D$29,AA29&gt;=$O$29 ),V29,INDEX($D$29:$O$29,1,MATCH(AA29,$D$29:$O$29,1)+1))</f>
        <v>15</v>
      </c>
      <c r="X29" s="1210">
        <f>INDEX($D$30:$O$34,LCT,MATCH(V29,$D$29:$O$29,1))</f>
        <v>0.75700000000000001</v>
      </c>
      <c r="Y29" s="1211">
        <f>INDEX($D$30:$O$34,LCT,MATCH(W29,$D$29:$O$29,1))</f>
        <v>0.75700000000000001</v>
      </c>
      <c r="Z29" s="1212">
        <f>IF(X29=Y29,Y29,Y29-(Y29-X29)/(W29-V29)*(W29-AA29))</f>
        <v>0.75700000000000001</v>
      </c>
      <c r="AA29" s="1213">
        <f>E5+E6</f>
        <v>0</v>
      </c>
      <c r="AB29" s="1518"/>
    </row>
    <row r="30" spans="1:28">
      <c r="B30" s="1191">
        <v>1</v>
      </c>
      <c r="C30" s="1192" t="s">
        <v>34</v>
      </c>
      <c r="D30" s="990">
        <v>0.66800000000000004</v>
      </c>
      <c r="E30" s="990">
        <v>0.503</v>
      </c>
      <c r="F30" s="990">
        <v>0.376</v>
      </c>
      <c r="G30" s="990">
        <v>0.24</v>
      </c>
      <c r="H30" s="990">
        <v>0.161</v>
      </c>
      <c r="I30" s="990">
        <v>0.1</v>
      </c>
      <c r="J30" s="990">
        <v>8.5999999999999993E-2</v>
      </c>
      <c r="K30" s="990">
        <v>7.2999999999999995E-2</v>
      </c>
      <c r="L30" s="990">
        <v>0.05</v>
      </c>
      <c r="M30" s="990">
        <v>0.04</v>
      </c>
      <c r="N30" s="990">
        <v>2.5999999999999999E-2</v>
      </c>
      <c r="O30" s="990">
        <v>2.1999999999999999E-2</v>
      </c>
      <c r="V30" s="1520"/>
      <c r="W30" s="1219"/>
      <c r="X30" s="1219"/>
      <c r="Y30" s="1219"/>
      <c r="Z30" s="1219"/>
      <c r="AA30" s="1219"/>
      <c r="AB30" s="1518"/>
    </row>
    <row r="31" spans="1:28">
      <c r="B31" s="1191">
        <v>2</v>
      </c>
      <c r="C31" s="1192" t="s">
        <v>35</v>
      </c>
      <c r="D31" s="990">
        <v>0.75700000000000001</v>
      </c>
      <c r="E31" s="990">
        <v>0.61199999999999999</v>
      </c>
      <c r="F31" s="990">
        <v>0.441</v>
      </c>
      <c r="G31" s="990">
        <v>0.29399999999999998</v>
      </c>
      <c r="H31" s="990">
        <v>0.20599999999999999</v>
      </c>
      <c r="I31" s="990">
        <v>0.16300000000000001</v>
      </c>
      <c r="J31" s="990">
        <v>0.14099999999999999</v>
      </c>
      <c r="K31" s="990">
        <v>0.11</v>
      </c>
      <c r="L31" s="990">
        <v>7.3999999999999996E-2</v>
      </c>
      <c r="M31" s="990">
        <v>5.7000000000000002E-2</v>
      </c>
      <c r="N31" s="990">
        <v>3.4000000000000002E-2</v>
      </c>
      <c r="O31" s="990">
        <v>2.7E-2</v>
      </c>
      <c r="V31" s="1520"/>
      <c r="W31" s="1219"/>
      <c r="X31" s="1219"/>
      <c r="Y31" s="1219"/>
      <c r="Z31" s="1219"/>
      <c r="AA31" s="1219"/>
      <c r="AB31" s="1518"/>
    </row>
    <row r="32" spans="1:28">
      <c r="B32" s="1191">
        <v>3</v>
      </c>
      <c r="C32" s="1192" t="s">
        <v>36</v>
      </c>
      <c r="D32" s="990">
        <v>0.41299999999999998</v>
      </c>
      <c r="E32" s="990">
        <v>0.34499999999999997</v>
      </c>
      <c r="F32" s="990">
        <v>0.251</v>
      </c>
      <c r="G32" s="990">
        <v>0.17699999999999999</v>
      </c>
      <c r="H32" s="990">
        <v>0.108</v>
      </c>
      <c r="I32" s="990">
        <v>7.0999999999999994E-2</v>
      </c>
      <c r="J32" s="990">
        <v>6.2E-2</v>
      </c>
      <c r="K32" s="990">
        <v>5.2999999999999999E-2</v>
      </c>
      <c r="L32" s="990">
        <v>3.5999999999999997E-2</v>
      </c>
      <c r="M32" s="990">
        <v>2.9000000000000001E-2</v>
      </c>
      <c r="N32" s="990">
        <v>1.9E-2</v>
      </c>
      <c r="O32" s="990">
        <v>1.6E-2</v>
      </c>
      <c r="V32" s="1520"/>
      <c r="W32" s="1219"/>
      <c r="X32" s="1219"/>
      <c r="Y32" s="1219"/>
      <c r="Z32" s="1219"/>
      <c r="AA32" s="1219"/>
      <c r="AB32" s="1518"/>
    </row>
    <row r="33" spans="1:28">
      <c r="B33" s="1191">
        <v>4</v>
      </c>
      <c r="C33" s="1192" t="s">
        <v>375</v>
      </c>
      <c r="D33" s="990">
        <v>0.56599999999999995</v>
      </c>
      <c r="E33" s="990">
        <v>0.47199999999999998</v>
      </c>
      <c r="F33" s="990">
        <v>0.34300000000000003</v>
      </c>
      <c r="G33" s="990">
        <v>0.216</v>
      </c>
      <c r="H33" s="990">
        <v>0.14399999999999999</v>
      </c>
      <c r="I33" s="990">
        <v>9.6000000000000002E-2</v>
      </c>
      <c r="J33" s="990">
        <v>8.2000000000000003E-2</v>
      </c>
      <c r="K33" s="990">
        <v>7.0000000000000007E-2</v>
      </c>
      <c r="L33" s="990">
        <v>4.8000000000000001E-2</v>
      </c>
      <c r="M33" s="990">
        <v>3.9E-2</v>
      </c>
      <c r="N33" s="990">
        <v>2.5000000000000001E-2</v>
      </c>
      <c r="O33" s="990">
        <v>2.1000000000000001E-2</v>
      </c>
      <c r="V33" s="1520"/>
      <c r="W33" s="1219"/>
      <c r="X33" s="1219"/>
      <c r="Y33" s="1219"/>
      <c r="Z33" s="1219"/>
      <c r="AA33" s="1219"/>
      <c r="AB33" s="1518"/>
    </row>
    <row r="34" spans="1:28">
      <c r="B34" s="1191">
        <v>5</v>
      </c>
      <c r="C34" s="1192" t="s">
        <v>38</v>
      </c>
      <c r="D34" s="990">
        <v>0.43099999999999999</v>
      </c>
      <c r="E34" s="990">
        <v>0.36</v>
      </c>
      <c r="F34" s="990">
        <v>0.26200000000000001</v>
      </c>
      <c r="G34" s="990">
        <v>0.183</v>
      </c>
      <c r="H34" s="990">
        <v>0.112</v>
      </c>
      <c r="I34" s="990">
        <v>7.3999999999999996E-2</v>
      </c>
      <c r="J34" s="990">
        <v>6.5000000000000002E-2</v>
      </c>
      <c r="K34" s="990">
        <v>5.5E-2</v>
      </c>
      <c r="L34" s="990">
        <v>3.7999999999999999E-2</v>
      </c>
      <c r="M34" s="990">
        <v>0.03</v>
      </c>
      <c r="N34" s="990">
        <v>0.02</v>
      </c>
      <c r="O34" s="990">
        <v>1.7000000000000001E-2</v>
      </c>
      <c r="V34" s="1520"/>
      <c r="W34" s="1219"/>
      <c r="X34" s="1219"/>
      <c r="Y34" s="1219"/>
      <c r="Z34" s="1219"/>
      <c r="AA34" s="1219"/>
      <c r="AB34" s="1518"/>
    </row>
    <row r="35" spans="1:28">
      <c r="B35" s="17"/>
      <c r="C35" s="17"/>
      <c r="D35" s="17"/>
      <c r="E35" s="17"/>
      <c r="F35" s="17"/>
      <c r="G35" s="17"/>
      <c r="H35" s="17"/>
      <c r="I35" s="17"/>
      <c r="J35" s="17"/>
      <c r="K35" s="17"/>
      <c r="L35" s="17"/>
      <c r="M35" s="17"/>
      <c r="N35" s="17"/>
      <c r="O35" s="17"/>
      <c r="V35" s="1520"/>
      <c r="W35" s="1219"/>
      <c r="X35" s="1219"/>
      <c r="Y35" s="1219"/>
      <c r="Z35" s="1219"/>
      <c r="AA35" s="1219"/>
      <c r="AB35" s="1518"/>
    </row>
    <row r="36" spans="1:28">
      <c r="B36" s="1885" t="s">
        <v>738</v>
      </c>
      <c r="C36" s="1219"/>
      <c r="D36" s="1219"/>
      <c r="E36" s="1219"/>
      <c r="F36" s="1219"/>
      <c r="G36" s="1219"/>
      <c r="H36" s="1219"/>
      <c r="I36" s="1219"/>
      <c r="J36" s="1219"/>
      <c r="K36" s="1219"/>
      <c r="L36" s="1219"/>
      <c r="M36" s="1219"/>
      <c r="N36" s="1219"/>
      <c r="O36" s="1219"/>
      <c r="V36" s="1520"/>
      <c r="W36" s="1219"/>
      <c r="X36" s="1219"/>
      <c r="Y36" s="1219"/>
      <c r="Z36" s="1219"/>
      <c r="AA36" s="1219"/>
      <c r="AB36" s="1518"/>
    </row>
    <row r="37" spans="1:28">
      <c r="C37" s="17"/>
      <c r="D37" s="17"/>
      <c r="E37" s="17"/>
      <c r="F37" s="17"/>
      <c r="G37" s="17"/>
      <c r="H37" s="17"/>
      <c r="I37" s="17"/>
      <c r="J37" s="17"/>
      <c r="K37" s="17"/>
      <c r="L37" s="17"/>
      <c r="M37" s="17"/>
      <c r="N37" s="17"/>
      <c r="O37" s="1184" t="s">
        <v>66</v>
      </c>
      <c r="V37" s="1520"/>
      <c r="W37" s="1219"/>
      <c r="X37" s="1219"/>
      <c r="Y37" s="1219"/>
      <c r="Z37" s="1219"/>
      <c r="AA37" s="1219"/>
      <c r="AB37" s="1518"/>
    </row>
    <row r="38" spans="1:28">
      <c r="A38" s="55" t="s">
        <v>1483</v>
      </c>
      <c r="B38" s="1185" t="s">
        <v>33</v>
      </c>
      <c r="C38" s="1185" t="s">
        <v>67</v>
      </c>
      <c r="D38" s="2465" t="s">
        <v>68</v>
      </c>
      <c r="E38" s="2465"/>
      <c r="F38" s="2465"/>
      <c r="G38" s="2465"/>
      <c r="H38" s="2465"/>
      <c r="I38" s="2465"/>
      <c r="J38" s="2465"/>
      <c r="K38" s="2465"/>
      <c r="L38" s="2465"/>
      <c r="M38" s="2465"/>
      <c r="N38" s="2465"/>
      <c r="O38" s="2465"/>
      <c r="P38" s="1210" t="s">
        <v>69</v>
      </c>
      <c r="Q38" s="1211" t="s">
        <v>70</v>
      </c>
      <c r="R38" s="1210" t="s">
        <v>71</v>
      </c>
      <c r="S38" s="1211" t="s">
        <v>72</v>
      </c>
      <c r="T38" s="1212" t="s">
        <v>641</v>
      </c>
      <c r="U38" s="1213" t="s">
        <v>411</v>
      </c>
      <c r="V38" s="1521" t="s">
        <v>69</v>
      </c>
      <c r="W38" s="1211" t="s">
        <v>70</v>
      </c>
      <c r="X38" s="1210" t="s">
        <v>71</v>
      </c>
      <c r="Y38" s="1211" t="s">
        <v>72</v>
      </c>
      <c r="Z38" s="1212" t="s">
        <v>641</v>
      </c>
      <c r="AA38" s="1213" t="s">
        <v>411</v>
      </c>
      <c r="AB38" s="1518"/>
    </row>
    <row r="39" spans="1:28">
      <c r="B39" s="922"/>
      <c r="C39" s="1189"/>
      <c r="D39" s="1204">
        <v>15</v>
      </c>
      <c r="E39" s="1191">
        <v>20</v>
      </c>
      <c r="F39" s="1191">
        <v>50</v>
      </c>
      <c r="G39" s="1191">
        <v>100</v>
      </c>
      <c r="H39" s="1191">
        <v>200</v>
      </c>
      <c r="I39" s="1191">
        <v>500</v>
      </c>
      <c r="J39" s="1865">
        <v>1000</v>
      </c>
      <c r="K39" s="1865">
        <v>2000</v>
      </c>
      <c r="L39" s="1865">
        <v>5000</v>
      </c>
      <c r="M39" s="1865">
        <v>10000</v>
      </c>
      <c r="N39" s="1865">
        <v>20000</v>
      </c>
      <c r="O39" s="1865">
        <v>30000</v>
      </c>
      <c r="P39" s="1210">
        <f>IF(U39&lt;=$D$39,$D$39,INDEX($D$39:$O$39,1,MATCH(U39,$D$39:$O$39,1)))</f>
        <v>15</v>
      </c>
      <c r="Q39" s="1211">
        <f>IF(OR(U39&lt;=$D$39,U39&gt;=$O$39),P39,INDEX($D$39:$O$39,1,MATCH(U39,$D$39:$O$39,1)+1))</f>
        <v>15</v>
      </c>
      <c r="R39" s="1210">
        <f>INDEX($D$40:$O$44,LCT,MATCH(P39,$D$39:$O$39,1))</f>
        <v>1.2609999999999999</v>
      </c>
      <c r="S39" s="1211">
        <f>INDEX($D$40:$O$44,LCT,MATCH(Q39,$D$39:$O$39,1))</f>
        <v>1.2609999999999999</v>
      </c>
      <c r="T39" s="1212">
        <f>IF(R39=S39,S39,S39-(S39-R39)/(Q39-P39)*(Q39-U39))</f>
        <v>1.2609999999999999</v>
      </c>
      <c r="U39" s="1213">
        <f>E5+E6</f>
        <v>0</v>
      </c>
      <c r="V39" s="1521">
        <f>IF(AA39&lt;=$D$39,$D$39,INDEX($D$39:$O$39,1,MATCH(AA39,$D$39:$O$39,1)))</f>
        <v>15</v>
      </c>
      <c r="W39" s="1211">
        <f>IF(OR(AA39&lt;=$D$39,AA39&gt;=$O$39),V39,INDEX($D$39:$O$39,1,MATCH(AA39,$D$39:$O$39,1)+1))</f>
        <v>15</v>
      </c>
      <c r="X39" s="1210">
        <f>INDEX($D$40:$O$44,LCT,MATCH(V39,$D$39:$O$39,1))</f>
        <v>1.2609999999999999</v>
      </c>
      <c r="Y39" s="1211">
        <f>INDEX($D$40:$O$44,LCT,MATCH(W39,$D$39:$O$39,1))</f>
        <v>1.2609999999999999</v>
      </c>
      <c r="Z39" s="1212">
        <f>IF(X39=Y39,Y39,Y39-(Y39-X39)/(W39-V39)*(W39-AA39))</f>
        <v>1.2609999999999999</v>
      </c>
      <c r="AA39" s="1213">
        <f>E5+E6</f>
        <v>0</v>
      </c>
      <c r="AB39" s="1518"/>
    </row>
    <row r="40" spans="1:28">
      <c r="B40" s="1191">
        <v>1</v>
      </c>
      <c r="C40" s="1192" t="s">
        <v>34</v>
      </c>
      <c r="D40" s="1256">
        <v>1.1140000000000001</v>
      </c>
      <c r="E40" s="1256">
        <v>0.91400000000000003</v>
      </c>
      <c r="F40" s="1256">
        <v>0.751</v>
      </c>
      <c r="G40" s="1256">
        <v>0.53400000000000003</v>
      </c>
      <c r="H40" s="1256">
        <v>0.40200000000000002</v>
      </c>
      <c r="I40" s="1256">
        <v>0.28699999999999998</v>
      </c>
      <c r="J40" s="1256">
        <v>0.246</v>
      </c>
      <c r="K40" s="1256">
        <v>0.20899999999999999</v>
      </c>
      <c r="L40" s="1256">
        <v>0.16700000000000001</v>
      </c>
      <c r="M40" s="1256">
        <v>0.13400000000000001</v>
      </c>
      <c r="N40" s="1256">
        <v>0.10199999999999999</v>
      </c>
      <c r="O40" s="1256">
        <v>8.5999999999999993E-2</v>
      </c>
      <c r="V40" s="1520"/>
      <c r="W40" s="1219"/>
      <c r="X40" s="1219"/>
      <c r="Y40" s="1219"/>
      <c r="Z40" s="1219"/>
      <c r="AA40" s="1219"/>
      <c r="AB40" s="1518"/>
    </row>
    <row r="41" spans="1:28">
      <c r="B41" s="1191">
        <v>2</v>
      </c>
      <c r="C41" s="1192" t="s">
        <v>35</v>
      </c>
      <c r="D41" s="1256">
        <v>1.2609999999999999</v>
      </c>
      <c r="E41" s="1256">
        <v>1.1120000000000001</v>
      </c>
      <c r="F41" s="1256">
        <v>0.88200000000000001</v>
      </c>
      <c r="G41" s="1256">
        <v>0.65400000000000003</v>
      </c>
      <c r="H41" s="1256">
        <v>0.51500000000000001</v>
      </c>
      <c r="I41" s="1256">
        <v>0.46600000000000003</v>
      </c>
      <c r="J41" s="1256">
        <v>0.40400000000000003</v>
      </c>
      <c r="K41" s="1256">
        <v>0.315</v>
      </c>
      <c r="L41" s="1256">
        <v>0.248</v>
      </c>
      <c r="M41" s="1256">
        <v>0.189</v>
      </c>
      <c r="N41" s="1256">
        <v>0.13500000000000001</v>
      </c>
      <c r="O41" s="1256">
        <v>0.107</v>
      </c>
      <c r="V41" s="1520"/>
      <c r="W41" s="1219"/>
      <c r="X41" s="1219"/>
      <c r="Y41" s="1219"/>
      <c r="Z41" s="1219"/>
      <c r="AA41" s="1219"/>
      <c r="AB41" s="1518"/>
    </row>
    <row r="42" spans="1:28">
      <c r="B42" s="1191">
        <v>3</v>
      </c>
      <c r="C42" s="1192" t="s">
        <v>36</v>
      </c>
      <c r="D42" s="1256">
        <v>0.68899999999999995</v>
      </c>
      <c r="E42" s="1256">
        <v>0.628</v>
      </c>
      <c r="F42" s="1256">
        <v>0.501</v>
      </c>
      <c r="G42" s="1256">
        <v>0.39300000000000002</v>
      </c>
      <c r="H42" s="1256">
        <v>0.27100000000000002</v>
      </c>
      <c r="I42" s="1256">
        <v>0.20300000000000001</v>
      </c>
      <c r="J42" s="1256">
        <v>0.17699999999999999</v>
      </c>
      <c r="K42" s="1256">
        <v>0.151</v>
      </c>
      <c r="L42" s="1256">
        <v>0.12</v>
      </c>
      <c r="M42" s="1256">
        <v>9.7000000000000003E-2</v>
      </c>
      <c r="N42" s="1256">
        <v>7.4999999999999997E-2</v>
      </c>
      <c r="O42" s="1256">
        <v>6.3E-2</v>
      </c>
      <c r="V42" s="1520"/>
      <c r="W42" s="1219"/>
      <c r="X42" s="1219"/>
      <c r="Y42" s="1219"/>
      <c r="Z42" s="1219"/>
      <c r="AA42" s="1219"/>
      <c r="AB42" s="1518"/>
    </row>
    <row r="43" spans="1:28">
      <c r="B43" s="1191">
        <v>4</v>
      </c>
      <c r="C43" s="1192" t="s">
        <v>375</v>
      </c>
      <c r="D43" s="1256">
        <v>0.94299999999999995</v>
      </c>
      <c r="E43" s="1256">
        <v>0.85799999999999998</v>
      </c>
      <c r="F43" s="1256">
        <v>0.68500000000000005</v>
      </c>
      <c r="G43" s="1256">
        <v>0.48</v>
      </c>
      <c r="H43" s="1256">
        <v>0.36099999999999999</v>
      </c>
      <c r="I43" s="1256">
        <v>0.27300000000000002</v>
      </c>
      <c r="J43" s="1256">
        <v>0.23400000000000001</v>
      </c>
      <c r="K43" s="1256">
        <v>0.20100000000000001</v>
      </c>
      <c r="L43" s="1256">
        <v>0.161</v>
      </c>
      <c r="M43" s="1256">
        <v>0.129</v>
      </c>
      <c r="N43" s="1256">
        <v>0.1</v>
      </c>
      <c r="O43" s="1256">
        <v>8.4000000000000005E-2</v>
      </c>
      <c r="V43" s="1520"/>
      <c r="W43" s="1219"/>
      <c r="X43" s="1219"/>
      <c r="Y43" s="1219"/>
      <c r="Z43" s="1219"/>
      <c r="AA43" s="1219"/>
      <c r="AB43" s="1518"/>
    </row>
    <row r="44" spans="1:28">
      <c r="B44" s="1191">
        <v>5</v>
      </c>
      <c r="C44" s="1192" t="s">
        <v>38</v>
      </c>
      <c r="D44" s="1256">
        <v>0.71899999999999997</v>
      </c>
      <c r="E44" s="1256">
        <v>0.65400000000000003</v>
      </c>
      <c r="F44" s="1256">
        <v>0.52400000000000002</v>
      </c>
      <c r="G44" s="1256">
        <v>0.40699999999999997</v>
      </c>
      <c r="H44" s="1256">
        <v>0.28000000000000003</v>
      </c>
      <c r="I44" s="1256">
        <v>0.21099999999999999</v>
      </c>
      <c r="J44" s="1256">
        <v>0.185</v>
      </c>
      <c r="K44" s="1256">
        <v>0.158</v>
      </c>
      <c r="L44" s="1256">
        <v>0.127</v>
      </c>
      <c r="M44" s="1256">
        <v>0.10100000000000001</v>
      </c>
      <c r="N44" s="1256">
        <v>7.8E-2</v>
      </c>
      <c r="O44" s="1257">
        <v>6.5000000000001307E-2</v>
      </c>
      <c r="V44" s="1520"/>
      <c r="W44" s="1219"/>
      <c r="X44" s="1219"/>
      <c r="Y44" s="1219"/>
      <c r="Z44" s="1219"/>
      <c r="AA44" s="1219"/>
      <c r="AB44" s="1518"/>
    </row>
    <row r="45" spans="1:28">
      <c r="B45" s="17"/>
      <c r="C45" s="17"/>
      <c r="D45" s="17"/>
      <c r="E45" s="17"/>
      <c r="F45" s="17"/>
      <c r="G45" s="17"/>
      <c r="H45" s="17"/>
      <c r="I45" s="17"/>
      <c r="J45" s="17"/>
      <c r="K45" s="17"/>
      <c r="L45" s="17"/>
      <c r="M45" s="17"/>
      <c r="N45" s="17"/>
      <c r="O45" s="17"/>
      <c r="V45" s="1520"/>
      <c r="W45" s="1219"/>
      <c r="X45" s="1219"/>
      <c r="Y45" s="1219"/>
      <c r="Z45" s="1219"/>
      <c r="AA45" s="1219"/>
      <c r="AB45" s="1518"/>
    </row>
    <row r="46" spans="1:28">
      <c r="B46" s="1885" t="s">
        <v>739</v>
      </c>
      <c r="C46" s="1219"/>
      <c r="D46" s="1219"/>
      <c r="E46" s="1219"/>
      <c r="F46" s="1219"/>
      <c r="G46" s="1219"/>
      <c r="H46" s="1219"/>
      <c r="I46" s="1219"/>
      <c r="J46" s="1219"/>
      <c r="K46" s="1219"/>
      <c r="L46" s="1219"/>
      <c r="M46" s="1219"/>
      <c r="N46" s="1219"/>
      <c r="O46" s="1219"/>
      <c r="V46" s="1520"/>
      <c r="W46" s="1219"/>
      <c r="X46" s="1219"/>
      <c r="Y46" s="1219"/>
      <c r="Z46" s="1219"/>
      <c r="AA46" s="1219"/>
      <c r="AB46" s="1518"/>
    </row>
    <row r="47" spans="1:28">
      <c r="C47" s="17"/>
      <c r="D47" s="17"/>
      <c r="E47" s="17"/>
      <c r="F47" s="1184" t="s">
        <v>66</v>
      </c>
      <c r="G47" s="17"/>
      <c r="H47" s="17"/>
      <c r="I47" s="17"/>
      <c r="J47" s="17"/>
      <c r="K47" s="17"/>
      <c r="L47" s="17"/>
      <c r="M47" s="17"/>
      <c r="N47" s="17"/>
      <c r="O47" s="17"/>
      <c r="V47" s="1520"/>
      <c r="W47" s="1219"/>
      <c r="X47" s="1219"/>
      <c r="Y47" s="1219"/>
      <c r="Z47" s="1219"/>
      <c r="AA47" s="1219"/>
      <c r="AB47" s="1518"/>
    </row>
    <row r="48" spans="1:28">
      <c r="A48" s="55" t="s">
        <v>1483</v>
      </c>
      <c r="B48" s="1185" t="s">
        <v>33</v>
      </c>
      <c r="C48" s="1185" t="s">
        <v>67</v>
      </c>
      <c r="D48" s="1192" t="s">
        <v>68</v>
      </c>
      <c r="E48" s="912"/>
      <c r="F48" s="912"/>
      <c r="G48" s="17"/>
      <c r="H48" s="17"/>
      <c r="I48" s="17"/>
      <c r="J48" s="17"/>
      <c r="K48" s="17"/>
      <c r="L48" s="17"/>
      <c r="M48" s="17"/>
      <c r="N48" s="17"/>
      <c r="O48" s="17"/>
      <c r="P48" s="1210" t="s">
        <v>69</v>
      </c>
      <c r="Q48" s="1211" t="s">
        <v>70</v>
      </c>
      <c r="R48" s="1210" t="s">
        <v>71</v>
      </c>
      <c r="S48" s="1211" t="s">
        <v>72</v>
      </c>
      <c r="T48" s="1212" t="s">
        <v>641</v>
      </c>
      <c r="U48" s="1213" t="s">
        <v>411</v>
      </c>
      <c r="V48" s="1521" t="s">
        <v>69</v>
      </c>
      <c r="W48" s="1211" t="s">
        <v>70</v>
      </c>
      <c r="X48" s="1210" t="s">
        <v>71</v>
      </c>
      <c r="Y48" s="1211" t="s">
        <v>72</v>
      </c>
      <c r="Z48" s="1212" t="s">
        <v>641</v>
      </c>
      <c r="AA48" s="1213" t="s">
        <v>411</v>
      </c>
      <c r="AB48" s="1518"/>
    </row>
    <row r="49" spans="1:28">
      <c r="B49" s="922"/>
      <c r="C49" s="1189"/>
      <c r="D49" s="1204">
        <v>1</v>
      </c>
      <c r="E49" s="911">
        <v>3</v>
      </c>
      <c r="F49" s="1191">
        <v>7</v>
      </c>
      <c r="G49" s="911">
        <v>15</v>
      </c>
      <c r="H49" s="17"/>
      <c r="I49" s="17"/>
      <c r="J49" s="17"/>
      <c r="K49" s="17"/>
      <c r="L49" s="17"/>
      <c r="M49" s="17"/>
      <c r="N49" s="17"/>
      <c r="O49" s="17"/>
      <c r="P49" s="1210">
        <f>IF(U49&lt;=$D$49,$D$49,INDEX($D$49:$G$49,1,MATCH(U49,$D$49:$G$49,1)))</f>
        <v>1</v>
      </c>
      <c r="Q49" s="1211">
        <f>IF(OR(U49&lt;=$D$49,U49&gt;=$G$49 ),P49,INDEX($D$49:$G$49,1,MATCH(U49,$D$49:$G$49,1)+1))</f>
        <v>1</v>
      </c>
      <c r="R49" s="1210">
        <f>INDEX($D$50:$G$54,LCT,MATCH(P49,$D$49:$G$49,1))</f>
        <v>6.7</v>
      </c>
      <c r="S49" s="1211">
        <f>INDEX($D$50:$G$54,LCT,MATCH(Q49,$D$49:$G$49,1))</f>
        <v>6.7</v>
      </c>
      <c r="T49" s="1212">
        <f>IF(R49=S49,S49,S49-(S49-R49)/(Q49-P49)*(Q49-U49))</f>
        <v>6.7</v>
      </c>
      <c r="U49" s="1213">
        <f>E5+E6</f>
        <v>0</v>
      </c>
      <c r="V49" s="1521">
        <f>IF(AA49&lt;=$D$49,$D$49,INDEX($D$49:$G$49,1,MATCH(AA49,$D$49:$G$49,1)))</f>
        <v>1</v>
      </c>
      <c r="W49" s="1211">
        <f>IF(OR(AA49&lt;=$D$49,AA49&gt;=$G$49 ),V49,INDEX($D$49:$G$49,1,MATCH(AA49,$D$49:$G$49,1)+1))</f>
        <v>1</v>
      </c>
      <c r="X49" s="1210">
        <f>INDEX($D$50:$G$54,LCT,MATCH(V49,$D$49:$G$49,1))</f>
        <v>6.7</v>
      </c>
      <c r="Y49" s="1211">
        <f>INDEX($D$50:$G$54,LCT,MATCH(W49,$D$49:$G$49,1))</f>
        <v>6.7</v>
      </c>
      <c r="Z49" s="1212">
        <f>IF(X49=Y49,Y49,Y49-(Y49-X49)/(W49-V49)*(W49-AA49))</f>
        <v>6.7</v>
      </c>
      <c r="AA49" s="1213">
        <f>E5+E6</f>
        <v>0</v>
      </c>
      <c r="AB49" s="1518"/>
    </row>
    <row r="50" spans="1:28">
      <c r="B50" s="1191">
        <v>1</v>
      </c>
      <c r="C50" s="1192" t="s">
        <v>34</v>
      </c>
      <c r="D50" s="1214">
        <v>6.5</v>
      </c>
      <c r="E50" s="1214">
        <v>4.7</v>
      </c>
      <c r="F50" s="1214">
        <v>4.2</v>
      </c>
      <c r="G50" s="1214">
        <v>3.6</v>
      </c>
      <c r="H50" s="17"/>
      <c r="I50" s="17"/>
      <c r="J50" s="17"/>
      <c r="K50" s="17"/>
      <c r="L50" s="17"/>
      <c r="M50" s="17"/>
      <c r="N50" s="17"/>
      <c r="O50" s="17"/>
      <c r="P50" s="17"/>
      <c r="Q50" s="17" t="s">
        <v>641</v>
      </c>
      <c r="V50" s="1520"/>
      <c r="W50" s="1219"/>
      <c r="X50" s="1219"/>
      <c r="Y50" s="1219"/>
      <c r="Z50" s="1219"/>
      <c r="AA50" s="1219"/>
      <c r="AB50" s="1518"/>
    </row>
    <row r="51" spans="1:28">
      <c r="B51" s="1191">
        <v>2</v>
      </c>
      <c r="C51" s="1192" t="s">
        <v>35</v>
      </c>
      <c r="D51" s="1214">
        <v>6.7</v>
      </c>
      <c r="E51" s="1214">
        <v>4.8</v>
      </c>
      <c r="F51" s="1214">
        <v>4.3</v>
      </c>
      <c r="G51" s="1214">
        <v>3.8</v>
      </c>
      <c r="H51" s="17"/>
      <c r="I51" s="17"/>
      <c r="J51" s="17"/>
      <c r="K51" s="17"/>
      <c r="L51" s="17"/>
      <c r="M51" s="17"/>
      <c r="N51" s="17"/>
      <c r="O51" s="17"/>
      <c r="P51" s="17" t="s">
        <v>842</v>
      </c>
      <c r="Q51" s="17">
        <f ca="1">IF(D9=1,T60,IF(D9=2,T87,IF(D9=3,T126,IF(D9=4,T147,T178))))</f>
        <v>2.0299999999999998</v>
      </c>
      <c r="V51" s="1520"/>
      <c r="W51" s="1219"/>
      <c r="X51" s="1219"/>
      <c r="Y51" s="1219"/>
      <c r="Z51" s="1219"/>
      <c r="AA51" s="1219"/>
    </row>
    <row r="52" spans="1:28">
      <c r="B52" s="1191">
        <v>3</v>
      </c>
      <c r="C52" s="1192" t="s">
        <v>36</v>
      </c>
      <c r="D52" s="1214">
        <v>5.4</v>
      </c>
      <c r="E52" s="1214">
        <v>3.6</v>
      </c>
      <c r="F52" s="1214">
        <v>2.7</v>
      </c>
      <c r="G52" s="1214">
        <v>2.5</v>
      </c>
      <c r="H52" s="17"/>
      <c r="I52" s="17"/>
      <c r="J52" s="17"/>
      <c r="K52" s="17"/>
      <c r="L52" s="17"/>
      <c r="M52" s="17"/>
      <c r="N52" s="17"/>
      <c r="O52" s="17"/>
      <c r="P52" s="17" t="s">
        <v>843</v>
      </c>
      <c r="Q52" s="17">
        <f ca="1">IF(BTK=2,Q53,Q54)</f>
        <v>1.2179999999999997</v>
      </c>
      <c r="V52" s="1520"/>
      <c r="W52" s="1219"/>
      <c r="X52" s="1219"/>
      <c r="Y52" s="1219"/>
      <c r="Z52" s="1219"/>
      <c r="AA52" s="1219"/>
    </row>
    <row r="53" spans="1:28">
      <c r="B53" s="1191">
        <v>4</v>
      </c>
      <c r="C53" s="1192" t="s">
        <v>375</v>
      </c>
      <c r="D53" s="1214">
        <v>6.2</v>
      </c>
      <c r="E53" s="1214">
        <v>4.4000000000000004</v>
      </c>
      <c r="F53" s="1214">
        <v>3.9</v>
      </c>
      <c r="G53" s="1214">
        <v>3.6</v>
      </c>
      <c r="H53" s="17"/>
      <c r="I53" s="17"/>
      <c r="J53" s="17"/>
      <c r="K53" s="17"/>
      <c r="L53" s="17"/>
      <c r="M53" s="17"/>
      <c r="N53" s="17"/>
      <c r="O53" s="17"/>
      <c r="P53" s="204" t="s">
        <v>844</v>
      </c>
      <c r="Q53" s="17">
        <f ca="1">IF(D9=1,T70,IF(D9=2,T97,IF(D9=3,T136,IF(D9=4,T157,T188))))</f>
        <v>3.13</v>
      </c>
      <c r="V53" s="1520"/>
      <c r="W53" s="1219"/>
      <c r="X53" s="1219"/>
      <c r="Y53" s="1219"/>
      <c r="Z53" s="1219"/>
      <c r="AA53" s="1219"/>
    </row>
    <row r="54" spans="1:28">
      <c r="B54" s="1191">
        <v>5</v>
      </c>
      <c r="C54" s="1192" t="s">
        <v>38</v>
      </c>
      <c r="D54" s="1214">
        <v>5.8</v>
      </c>
      <c r="E54" s="1214">
        <v>4.2</v>
      </c>
      <c r="F54" s="1214">
        <v>3.4</v>
      </c>
      <c r="G54" s="1214">
        <v>3</v>
      </c>
      <c r="H54" s="17"/>
      <c r="I54" s="17"/>
      <c r="J54" s="17"/>
      <c r="K54" s="17"/>
      <c r="L54" s="17"/>
      <c r="M54" s="17"/>
      <c r="N54" s="17"/>
      <c r="O54" s="17"/>
      <c r="P54" s="204" t="s">
        <v>845</v>
      </c>
      <c r="Q54" s="17">
        <f ca="1">IF(LCT=2,60%*TL_TKKT,55%*TL_TKKT)</f>
        <v>1.2179999999999997</v>
      </c>
      <c r="V54" s="1520"/>
      <c r="W54" s="1219"/>
      <c r="X54" s="1219"/>
      <c r="Y54" s="1219"/>
      <c r="Z54" s="1219"/>
      <c r="AA54" s="1219"/>
    </row>
    <row r="55" spans="1:28">
      <c r="B55" s="17"/>
      <c r="C55" s="17"/>
      <c r="D55" s="17"/>
      <c r="E55" s="17"/>
      <c r="F55" s="17"/>
      <c r="G55" s="17"/>
      <c r="H55" s="17"/>
      <c r="I55" s="17"/>
      <c r="J55" s="17"/>
      <c r="K55" s="1825"/>
      <c r="L55" s="17"/>
      <c r="M55" s="17"/>
      <c r="N55" s="17"/>
      <c r="O55" s="17"/>
      <c r="V55" s="1520"/>
      <c r="W55" s="1219"/>
      <c r="X55" s="1219"/>
      <c r="Y55" s="1219"/>
      <c r="Z55" s="1219"/>
      <c r="AA55" s="1219"/>
    </row>
    <row r="56" spans="1:28">
      <c r="B56" s="1216" t="s">
        <v>740</v>
      </c>
      <c r="C56" s="17"/>
      <c r="D56" s="17"/>
      <c r="E56" s="17"/>
      <c r="F56" s="17"/>
      <c r="G56" s="17"/>
      <c r="H56" s="17"/>
      <c r="I56" s="17"/>
      <c r="J56" s="17"/>
      <c r="K56" s="17"/>
      <c r="L56" s="17"/>
      <c r="M56" s="17"/>
      <c r="N56" s="17"/>
      <c r="O56" s="17"/>
      <c r="V56" s="1520"/>
      <c r="W56" s="1219"/>
      <c r="X56" s="1219"/>
      <c r="Y56" s="1219"/>
      <c r="Z56" s="1219"/>
      <c r="AA56" s="1219"/>
    </row>
    <row r="57" spans="1:28">
      <c r="B57" s="1885" t="s">
        <v>741</v>
      </c>
      <c r="C57" s="1219"/>
      <c r="D57" s="1219"/>
      <c r="E57" s="1219"/>
      <c r="F57" s="1219"/>
      <c r="G57" s="1219"/>
      <c r="H57" s="1219"/>
      <c r="I57" s="1219"/>
      <c r="J57" s="1219"/>
      <c r="K57" s="1219"/>
      <c r="L57" s="1219"/>
      <c r="M57" s="1219"/>
      <c r="N57" s="1219"/>
      <c r="O57" s="1219"/>
      <c r="V57" s="1520"/>
      <c r="W57" s="1219"/>
      <c r="X57" s="1219"/>
      <c r="Y57" s="1219"/>
      <c r="Z57" s="1219"/>
      <c r="AA57" s="1219"/>
    </row>
    <row r="58" spans="1:28">
      <c r="B58" s="299"/>
      <c r="C58" s="17"/>
      <c r="D58" s="17"/>
      <c r="E58" s="17"/>
      <c r="F58" s="17"/>
      <c r="G58" s="17"/>
      <c r="H58" s="17"/>
      <c r="I58" s="17"/>
      <c r="J58" s="17"/>
      <c r="K58" s="17"/>
      <c r="L58" s="17"/>
      <c r="M58" s="17"/>
      <c r="N58" s="1184" t="s">
        <v>66</v>
      </c>
      <c r="O58" s="17"/>
      <c r="V58" s="1520"/>
      <c r="W58" s="1219"/>
      <c r="X58" s="1219"/>
      <c r="Y58" s="1219"/>
      <c r="Z58" s="1219"/>
      <c r="AA58" s="1219"/>
    </row>
    <row r="59" spans="1:28">
      <c r="A59" s="55" t="s">
        <v>1483</v>
      </c>
      <c r="B59" s="1185" t="s">
        <v>33</v>
      </c>
      <c r="C59" s="921" t="s">
        <v>81</v>
      </c>
      <c r="D59" s="1186" t="s">
        <v>954</v>
      </c>
      <c r="E59" s="1194"/>
      <c r="F59" s="1194"/>
      <c r="G59" s="1194"/>
      <c r="H59" s="1194"/>
      <c r="I59" s="1194"/>
      <c r="J59" s="1194"/>
      <c r="K59" s="1194"/>
      <c r="L59" s="1194"/>
      <c r="M59" s="1194"/>
      <c r="N59" s="1195"/>
      <c r="O59" s="17"/>
      <c r="P59" s="1210" t="s">
        <v>69</v>
      </c>
      <c r="Q59" s="1211" t="s">
        <v>70</v>
      </c>
      <c r="R59" s="1210" t="s">
        <v>71</v>
      </c>
      <c r="S59" s="1211" t="s">
        <v>72</v>
      </c>
      <c r="T59" s="1212" t="s">
        <v>641</v>
      </c>
      <c r="U59" s="1213" t="s">
        <v>411</v>
      </c>
      <c r="V59" s="1521" t="s">
        <v>69</v>
      </c>
      <c r="W59" s="1211" t="s">
        <v>70</v>
      </c>
      <c r="X59" s="1210" t="s">
        <v>71</v>
      </c>
      <c r="Y59" s="1211" t="s">
        <v>72</v>
      </c>
      <c r="Z59" s="1212" t="s">
        <v>641</v>
      </c>
      <c r="AA59" s="1213" t="s">
        <v>411</v>
      </c>
    </row>
    <row r="60" spans="1:28">
      <c r="B60" s="922"/>
      <c r="C60" s="1196"/>
      <c r="D60" s="1204">
        <v>10</v>
      </c>
      <c r="E60" s="1191">
        <v>20</v>
      </c>
      <c r="F60" s="1191">
        <v>50</v>
      </c>
      <c r="G60" s="1191">
        <v>100</v>
      </c>
      <c r="H60" s="1191">
        <v>200</v>
      </c>
      <c r="I60" s="1191">
        <v>500</v>
      </c>
      <c r="J60" s="1865">
        <v>1000</v>
      </c>
      <c r="K60" s="1865">
        <v>2000</v>
      </c>
      <c r="L60" s="1865">
        <v>5000</v>
      </c>
      <c r="M60" s="1865">
        <v>8000</v>
      </c>
      <c r="N60" s="1865">
        <v>10000</v>
      </c>
      <c r="O60" s="17"/>
      <c r="P60" s="1210">
        <f ca="1">IF(U60&lt;=$D$60,$D$60,INDEX($D$60:$N$60,1,MATCH(U60,$D$60:$N$60,1)))</f>
        <v>10</v>
      </c>
      <c r="Q60" s="1211">
        <f ca="1">IF(OR(U60&lt;=$D$60,U60&gt;=$N$60),P60,INDEX($D$60:$N$60,1,MATCH(U60,$D$60:$N$60,1)+1))</f>
        <v>10</v>
      </c>
      <c r="R60" s="1210">
        <f ca="1">INDEX($D$61:$N$65,CCT,MATCH(P60,$D$60:$N$60,1))</f>
        <v>2.67</v>
      </c>
      <c r="S60" s="1211">
        <f ca="1">INDEX($D$61:$N$65,CCT,MATCH(Q60,$D$60:$N$60,1))</f>
        <v>2.67</v>
      </c>
      <c r="T60" s="1212">
        <f ca="1">IF(R60=S60,S60,S60-(S60-R60)/(Q60-P60)*(Q60-U60))</f>
        <v>2.67</v>
      </c>
      <c r="U60" s="1519">
        <f ca="1">D5</f>
        <v>0.34403316717430643</v>
      </c>
      <c r="V60" s="1521">
        <f>IF(AA60&lt;=$D$60,$D$60,INDEX($D$60:$N$60,1,MATCH(AA60,$D$60:$N$60,1)))</f>
        <v>10</v>
      </c>
      <c r="W60" s="1211">
        <f>IF(OR(AA60&lt;=$D$60,AA60&gt;=$N$60),V60,INDEX($D$60:$N$60,1,MATCH(AA60,$D$60:$N$60,1)+1))</f>
        <v>10</v>
      </c>
      <c r="X60" s="1210">
        <f>INDEX($D$61:$N$65,CCT,MATCH(V60,$D$60:$N$60,1))</f>
        <v>2.67</v>
      </c>
      <c r="Y60" s="1211">
        <f>INDEX($D$61:$N$65,CCT,MATCH(W60,$D$60:$N$60,1))</f>
        <v>2.67</v>
      </c>
      <c r="Z60" s="1212">
        <f>IF(X60=Y60,Y60,Y60-(Y60-X60)/(W60-V60)*(W60-AA60))</f>
        <v>2.67</v>
      </c>
      <c r="AA60" s="1213">
        <f>E5</f>
        <v>0</v>
      </c>
    </row>
    <row r="61" spans="1:28">
      <c r="B61" s="911">
        <v>1</v>
      </c>
      <c r="C61" s="1192" t="s">
        <v>83</v>
      </c>
      <c r="D61" s="1255">
        <v>3.22</v>
      </c>
      <c r="E61" s="1255">
        <v>2.81</v>
      </c>
      <c r="F61" s="1255">
        <v>2.36</v>
      </c>
      <c r="G61" s="1255">
        <v>2.15</v>
      </c>
      <c r="H61" s="1255">
        <v>1.96</v>
      </c>
      <c r="I61" s="1255">
        <v>1.65</v>
      </c>
      <c r="J61" s="1255">
        <v>1.36</v>
      </c>
      <c r="K61" s="1255">
        <v>1.1599999999999999</v>
      </c>
      <c r="L61" s="1255">
        <v>0.89</v>
      </c>
      <c r="M61" s="1255">
        <v>0.68</v>
      </c>
      <c r="N61" s="1255">
        <v>0.61000000000001298</v>
      </c>
      <c r="O61" s="17"/>
      <c r="V61" s="1520"/>
      <c r="W61" s="1219"/>
      <c r="X61" s="1219"/>
      <c r="Y61" s="1219"/>
      <c r="Z61" s="1219"/>
      <c r="AA61" s="1219"/>
    </row>
    <row r="62" spans="1:28">
      <c r="B62" s="911">
        <v>2</v>
      </c>
      <c r="C62" s="1192" t="s">
        <v>85</v>
      </c>
      <c r="D62" s="1255">
        <v>2.93</v>
      </c>
      <c r="E62" s="1255">
        <v>2.5499999999999998</v>
      </c>
      <c r="F62" s="1255">
        <v>2.14</v>
      </c>
      <c r="G62" s="1255">
        <v>1.94</v>
      </c>
      <c r="H62" s="1255">
        <v>1.78</v>
      </c>
      <c r="I62" s="1255">
        <v>1.5</v>
      </c>
      <c r="J62" s="1255">
        <v>1.22</v>
      </c>
      <c r="K62" s="1255">
        <v>1.05</v>
      </c>
      <c r="L62" s="1255">
        <v>0.8</v>
      </c>
      <c r="M62" s="1255">
        <v>0.61</v>
      </c>
      <c r="N62" s="1255">
        <v>0.55000000000000004</v>
      </c>
      <c r="O62" s="17"/>
      <c r="V62" s="1520"/>
      <c r="W62" s="1219"/>
      <c r="X62" s="1219"/>
      <c r="Y62" s="1219"/>
      <c r="Z62" s="1219"/>
      <c r="AA62" s="1219"/>
    </row>
    <row r="63" spans="1:28">
      <c r="B63" s="911">
        <v>3</v>
      </c>
      <c r="C63" s="1192" t="s">
        <v>86</v>
      </c>
      <c r="D63" s="1255">
        <v>2.67</v>
      </c>
      <c r="E63" s="1255">
        <v>2.33</v>
      </c>
      <c r="F63" s="1255">
        <v>1.96</v>
      </c>
      <c r="G63" s="1255">
        <v>1.77</v>
      </c>
      <c r="H63" s="1255">
        <v>1.62</v>
      </c>
      <c r="I63" s="1255">
        <v>1.37</v>
      </c>
      <c r="J63" s="1255">
        <v>1.1100000000000001</v>
      </c>
      <c r="K63" s="1255">
        <v>0.94</v>
      </c>
      <c r="L63" s="1255">
        <v>0.73</v>
      </c>
      <c r="M63" s="1255">
        <v>0.55000000000000004</v>
      </c>
      <c r="N63" s="1255">
        <v>0.5</v>
      </c>
      <c r="O63" s="17"/>
      <c r="V63" s="1520"/>
      <c r="W63" s="1219"/>
      <c r="X63" s="1219"/>
      <c r="Y63" s="1219"/>
      <c r="Z63" s="1219"/>
      <c r="AA63" s="1219"/>
    </row>
    <row r="64" spans="1:28">
      <c r="B64" s="911">
        <v>4</v>
      </c>
      <c r="C64" s="1192" t="s">
        <v>88</v>
      </c>
      <c r="D64" s="1255">
        <v>2.36</v>
      </c>
      <c r="E64" s="1255">
        <v>2.0699999999999998</v>
      </c>
      <c r="F64" s="1255">
        <v>1.74</v>
      </c>
      <c r="G64" s="1255">
        <v>1.57</v>
      </c>
      <c r="H64" s="1255">
        <v>1.43</v>
      </c>
      <c r="I64" s="1255">
        <v>1.21</v>
      </c>
      <c r="J64" s="1255">
        <v>0.98</v>
      </c>
      <c r="K64" s="1255">
        <v>0.83</v>
      </c>
      <c r="L64" s="1255">
        <v>0.64</v>
      </c>
      <c r="M64" s="1255">
        <v>0.48</v>
      </c>
      <c r="N64" s="1255">
        <v>0.44</v>
      </c>
      <c r="O64" s="17"/>
      <c r="V64" s="1520"/>
      <c r="W64" s="1219"/>
      <c r="X64" s="1219"/>
      <c r="Y64" s="1219"/>
      <c r="Z64" s="1219"/>
      <c r="AA64" s="1219"/>
    </row>
    <row r="65" spans="1:27">
      <c r="B65" s="911">
        <v>5</v>
      </c>
      <c r="C65" s="1192" t="s">
        <v>89</v>
      </c>
      <c r="D65" s="1255">
        <v>2.0699999999999998</v>
      </c>
      <c r="E65" s="1255">
        <v>1.81</v>
      </c>
      <c r="F65" s="1255">
        <v>1.48</v>
      </c>
      <c r="G65" s="1255">
        <v>1.3</v>
      </c>
      <c r="H65" s="1255">
        <v>1.06</v>
      </c>
      <c r="I65" s="1255">
        <v>0.89</v>
      </c>
      <c r="J65" s="1255"/>
      <c r="K65" s="1255"/>
      <c r="L65" s="1255"/>
      <c r="M65" s="1255"/>
      <c r="N65" s="1255"/>
      <c r="O65" s="17"/>
      <c r="V65" s="1520"/>
      <c r="W65" s="1219"/>
      <c r="X65" s="1219"/>
      <c r="Y65" s="1219"/>
      <c r="Z65" s="1219"/>
      <c r="AA65" s="1219"/>
    </row>
    <row r="66" spans="1:27">
      <c r="B66" s="17"/>
      <c r="C66" s="17"/>
      <c r="E66" s="17"/>
      <c r="F66" s="17"/>
      <c r="G66" s="17"/>
      <c r="H66" s="17"/>
      <c r="I66" s="17"/>
      <c r="J66" s="17"/>
      <c r="K66" s="17"/>
      <c r="L66" s="17"/>
      <c r="M66" s="17"/>
      <c r="N66" s="17"/>
      <c r="O66" s="17"/>
      <c r="V66" s="1520"/>
      <c r="W66" s="1219"/>
      <c r="X66" s="1219"/>
      <c r="Y66" s="1219"/>
      <c r="Z66" s="1219"/>
      <c r="AA66" s="1219"/>
    </row>
    <row r="67" spans="1:27">
      <c r="B67" s="1885" t="s">
        <v>742</v>
      </c>
      <c r="C67" s="1219"/>
      <c r="D67" s="1219"/>
      <c r="E67" s="1219"/>
      <c r="F67" s="1219"/>
      <c r="G67" s="1219"/>
      <c r="H67" s="1219"/>
      <c r="I67" s="1219"/>
      <c r="J67" s="1219"/>
      <c r="K67" s="1219"/>
      <c r="L67" s="1219"/>
      <c r="M67" s="1219"/>
      <c r="N67" s="1219"/>
      <c r="O67" s="1219"/>
      <c r="V67" s="1520"/>
      <c r="W67" s="1219"/>
      <c r="X67" s="1219"/>
      <c r="Y67" s="1219"/>
      <c r="Z67" s="1219"/>
      <c r="AA67" s="1219"/>
    </row>
    <row r="68" spans="1:27">
      <c r="B68" s="299"/>
      <c r="C68" s="17"/>
      <c r="D68" s="17"/>
      <c r="E68" s="17"/>
      <c r="F68" s="17"/>
      <c r="G68" s="17"/>
      <c r="H68" s="17"/>
      <c r="I68" s="17"/>
      <c r="J68" s="17"/>
      <c r="K68" s="17"/>
      <c r="L68" s="17"/>
      <c r="M68" s="17"/>
      <c r="N68" s="1184" t="s">
        <v>66</v>
      </c>
      <c r="O68" s="17"/>
      <c r="V68" s="1520"/>
      <c r="W68" s="1219"/>
      <c r="X68" s="1219"/>
      <c r="Y68" s="1219"/>
      <c r="Z68" s="1219"/>
      <c r="AA68" s="1219"/>
    </row>
    <row r="69" spans="1:27">
      <c r="A69" s="55" t="s">
        <v>1483</v>
      </c>
      <c r="B69" s="1185" t="s">
        <v>33</v>
      </c>
      <c r="C69" s="921" t="s">
        <v>81</v>
      </c>
      <c r="D69" s="1186" t="s">
        <v>954</v>
      </c>
      <c r="E69" s="1194"/>
      <c r="F69" s="1194"/>
      <c r="G69" s="1194"/>
      <c r="H69" s="1194"/>
      <c r="I69" s="1194"/>
      <c r="J69" s="1194"/>
      <c r="K69" s="1194"/>
      <c r="L69" s="1194"/>
      <c r="M69" s="1194"/>
      <c r="N69" s="1195"/>
      <c r="O69" s="17"/>
      <c r="P69" s="1210" t="s">
        <v>69</v>
      </c>
      <c r="Q69" s="1211" t="s">
        <v>70</v>
      </c>
      <c r="R69" s="1210" t="s">
        <v>71</v>
      </c>
      <c r="S69" s="1211" t="s">
        <v>72</v>
      </c>
      <c r="T69" s="1212" t="s">
        <v>641</v>
      </c>
      <c r="U69" s="1213" t="s">
        <v>411</v>
      </c>
      <c r="V69" s="1521" t="s">
        <v>69</v>
      </c>
      <c r="W69" s="1211" t="s">
        <v>70</v>
      </c>
      <c r="X69" s="1210" t="s">
        <v>71</v>
      </c>
      <c r="Y69" s="1211" t="s">
        <v>72</v>
      </c>
      <c r="Z69" s="1212" t="s">
        <v>641</v>
      </c>
      <c r="AA69" s="1213" t="s">
        <v>411</v>
      </c>
    </row>
    <row r="70" spans="1:27">
      <c r="B70" s="922"/>
      <c r="C70" s="1196"/>
      <c r="D70" s="1204">
        <v>10</v>
      </c>
      <c r="E70" s="1191">
        <v>20</v>
      </c>
      <c r="F70" s="1191">
        <v>50</v>
      </c>
      <c r="G70" s="1191">
        <v>100</v>
      </c>
      <c r="H70" s="1191">
        <v>200</v>
      </c>
      <c r="I70" s="1191">
        <v>500</v>
      </c>
      <c r="J70" s="1865">
        <v>1000</v>
      </c>
      <c r="K70" s="1865">
        <v>2000</v>
      </c>
      <c r="L70" s="1865">
        <v>5000</v>
      </c>
      <c r="M70" s="1865">
        <v>8000</v>
      </c>
      <c r="N70" s="1865">
        <v>10000</v>
      </c>
      <c r="O70" s="17"/>
      <c r="P70" s="1210">
        <f ca="1">IF(U70&lt;=$D$70,$D$70,INDEX($D$70:$N$70,1,MATCH(U70,$D$70:$N$70,1)))</f>
        <v>10</v>
      </c>
      <c r="Q70" s="1211">
        <f ca="1">IF(OR(U70&lt;=$D$70,U70&gt;=$N$70),P70,INDEX($D$70:$N$70,1,MATCH(U70,$D$70:$N$70,1)+1))</f>
        <v>10</v>
      </c>
      <c r="R70" s="1210">
        <f ca="1">INDEX($D$71:$N$75,CCT,MATCH(P70,$D$70:$N$70,1))</f>
        <v>3.85</v>
      </c>
      <c r="S70" s="1211">
        <f ca="1">INDEX($D$71:$N$75,CCT,MATCH(Q70,$D$70:$N$70,1))</f>
        <v>3.85</v>
      </c>
      <c r="T70" s="1212">
        <f ca="1">IF(R70=S70,S70,S70-(S70-R70)/(Q70-P70)*(Q70-U70))</f>
        <v>3.85</v>
      </c>
      <c r="U70" s="1519">
        <f ca="1">D5</f>
        <v>0.34403316717430643</v>
      </c>
      <c r="V70" s="1521">
        <f>IF(AA70&lt;=$D$70,$D$70,INDEX($D$70:$N$70,1,MATCH(AA70,$D$70:$N$70,1)))</f>
        <v>10</v>
      </c>
      <c r="W70" s="1211">
        <f>IF(OR(AA70&lt;=$D$70,AA70&gt;=$N$70),V70,INDEX($D$70:$N$70,1,MATCH(AA70,$D$70:$N$70,1)+1))</f>
        <v>10</v>
      </c>
      <c r="X70" s="1210">
        <f>INDEX($D$71:$N$75,CCT,MATCH(V70,$D$70:$N$70,1))</f>
        <v>3.85</v>
      </c>
      <c r="Y70" s="1211">
        <f>INDEX($D$71:$N$75,CCT,MATCH(W70,$D$70:$N$70,1))</f>
        <v>3.85</v>
      </c>
      <c r="Z70" s="1212">
        <f>IF(X70=Y70,Y70,Y70-(Y70-X70)/(W70-V70)*(W70-AA70))</f>
        <v>3.85</v>
      </c>
      <c r="AA70" s="1213">
        <f>E5</f>
        <v>0</v>
      </c>
    </row>
    <row r="71" spans="1:27">
      <c r="B71" s="911">
        <v>1</v>
      </c>
      <c r="C71" s="1192" t="s">
        <v>83</v>
      </c>
      <c r="D71" s="1255">
        <v>4.66</v>
      </c>
      <c r="E71" s="1255">
        <v>4.05</v>
      </c>
      <c r="F71" s="1255">
        <v>3.41</v>
      </c>
      <c r="G71" s="1255">
        <v>3.1</v>
      </c>
      <c r="H71" s="1255">
        <v>2.83</v>
      </c>
      <c r="I71" s="1255">
        <v>2.39</v>
      </c>
      <c r="J71" s="1255">
        <v>1.93</v>
      </c>
      <c r="K71" s="1255">
        <v>1.65</v>
      </c>
      <c r="L71" s="1255">
        <v>1.28</v>
      </c>
      <c r="M71" s="1255">
        <v>0.99</v>
      </c>
      <c r="N71" s="1255">
        <v>0.91</v>
      </c>
      <c r="O71" s="17"/>
      <c r="V71" s="1520"/>
      <c r="W71" s="1219"/>
      <c r="X71" s="1219"/>
      <c r="Y71" s="1219"/>
      <c r="Z71" s="1219"/>
      <c r="AA71" s="1219"/>
    </row>
    <row r="72" spans="1:27">
      <c r="B72" s="911">
        <v>2</v>
      </c>
      <c r="C72" s="1192" t="s">
        <v>85</v>
      </c>
      <c r="D72" s="1255">
        <v>4.22</v>
      </c>
      <c r="E72" s="1255">
        <v>3.66</v>
      </c>
      <c r="F72" s="1255">
        <v>3.1</v>
      </c>
      <c r="G72" s="1255">
        <v>2.82</v>
      </c>
      <c r="H72" s="1255">
        <v>2.57</v>
      </c>
      <c r="I72" s="1255">
        <v>2.17</v>
      </c>
      <c r="J72" s="1255">
        <v>1.76</v>
      </c>
      <c r="K72" s="1255">
        <v>1.51</v>
      </c>
      <c r="L72" s="1255">
        <v>1.1599999999999999</v>
      </c>
      <c r="M72" s="1255">
        <v>0.9</v>
      </c>
      <c r="N72" s="1255">
        <v>0.8</v>
      </c>
      <c r="O72" s="17"/>
      <c r="V72" s="1520"/>
      <c r="W72" s="1219"/>
      <c r="X72" s="1219"/>
      <c r="Y72" s="1219"/>
      <c r="Z72" s="1219"/>
      <c r="AA72" s="1219"/>
    </row>
    <row r="73" spans="1:27">
      <c r="B73" s="911">
        <v>3</v>
      </c>
      <c r="C73" s="1192" t="s">
        <v>86</v>
      </c>
      <c r="D73" s="1255">
        <v>3.85</v>
      </c>
      <c r="E73" s="1255">
        <v>3.33</v>
      </c>
      <c r="F73" s="1255">
        <v>2.8</v>
      </c>
      <c r="G73" s="1255">
        <v>2.54</v>
      </c>
      <c r="H73" s="1255">
        <v>2.3400000000000101</v>
      </c>
      <c r="I73" s="1255">
        <v>1.98</v>
      </c>
      <c r="J73" s="1255">
        <v>1.61</v>
      </c>
      <c r="K73" s="1255">
        <v>1.36</v>
      </c>
      <c r="L73" s="1255">
        <v>1.06</v>
      </c>
      <c r="M73" s="1255">
        <v>0.82</v>
      </c>
      <c r="N73" s="1255">
        <v>0.72</v>
      </c>
      <c r="O73" s="17"/>
      <c r="V73" s="1520"/>
      <c r="W73" s="1219"/>
      <c r="X73" s="1219"/>
      <c r="Y73" s="1219"/>
      <c r="Z73" s="1219"/>
      <c r="AA73" s="1219"/>
    </row>
    <row r="74" spans="1:27">
      <c r="B74" s="911">
        <v>4</v>
      </c>
      <c r="C74" s="1192" t="s">
        <v>88</v>
      </c>
      <c r="D74" s="1255">
        <v>3.41</v>
      </c>
      <c r="E74" s="1255">
        <v>2.95</v>
      </c>
      <c r="F74" s="1255">
        <v>2.48</v>
      </c>
      <c r="G74" s="1255">
        <v>2.25</v>
      </c>
      <c r="H74" s="1255">
        <v>2.0699999999999998</v>
      </c>
      <c r="I74" s="1255">
        <v>1.75</v>
      </c>
      <c r="J74" s="1255">
        <v>1.43</v>
      </c>
      <c r="K74" s="1255">
        <v>1.2</v>
      </c>
      <c r="L74" s="1255">
        <v>0.94</v>
      </c>
      <c r="M74" s="1255">
        <v>0.72</v>
      </c>
      <c r="N74" s="1255">
        <v>0.63</v>
      </c>
      <c r="O74" s="17"/>
      <c r="V74" s="1520"/>
      <c r="W74" s="1219"/>
      <c r="X74" s="1219"/>
      <c r="Y74" s="1219"/>
      <c r="Z74" s="1219"/>
      <c r="AA74" s="1219"/>
    </row>
    <row r="75" spans="1:27">
      <c r="B75" s="911">
        <v>5</v>
      </c>
      <c r="C75" s="1192" t="s">
        <v>89</v>
      </c>
      <c r="D75" s="1255">
        <v>2.92</v>
      </c>
      <c r="E75" s="1255">
        <v>2.5499999999999998</v>
      </c>
      <c r="F75" s="1255">
        <v>2.12</v>
      </c>
      <c r="G75" s="1255">
        <v>1.86</v>
      </c>
      <c r="H75" s="1255">
        <v>1.51</v>
      </c>
      <c r="I75" s="1255">
        <v>1.3</v>
      </c>
      <c r="J75" s="1255"/>
      <c r="K75" s="1255"/>
      <c r="L75" s="1255"/>
      <c r="M75" s="1255"/>
      <c r="N75" s="1255"/>
      <c r="O75" s="17"/>
      <c r="V75" s="1520"/>
      <c r="W75" s="1219"/>
      <c r="X75" s="1219"/>
      <c r="Y75" s="1219"/>
      <c r="Z75" s="1219"/>
      <c r="AA75" s="1219"/>
    </row>
    <row r="76" spans="1:27">
      <c r="B76" s="17"/>
      <c r="C76" s="17"/>
      <c r="D76" s="17"/>
      <c r="E76" s="17"/>
      <c r="F76" s="17"/>
      <c r="G76" s="17"/>
      <c r="H76" s="17"/>
      <c r="I76" s="17"/>
      <c r="J76" s="17"/>
      <c r="K76" s="17"/>
      <c r="L76" s="17"/>
      <c r="M76" s="17"/>
      <c r="N76" s="17"/>
      <c r="O76" s="17"/>
      <c r="V76" s="1520"/>
      <c r="W76" s="1219"/>
      <c r="X76" s="1219"/>
      <c r="Y76" s="1219"/>
      <c r="Z76" s="1219"/>
      <c r="AA76" s="1219"/>
    </row>
    <row r="77" spans="1:27">
      <c r="B77" s="1885" t="s">
        <v>1376</v>
      </c>
      <c r="C77" s="1546"/>
      <c r="V77" s="1520"/>
      <c r="W77" s="1219"/>
      <c r="X77" s="1219"/>
      <c r="Y77" s="1219"/>
      <c r="Z77" s="1219"/>
      <c r="AA77" s="1219"/>
    </row>
    <row r="78" spans="1:27">
      <c r="B78" s="1546"/>
      <c r="C78" s="1546"/>
      <c r="D78" s="1556"/>
      <c r="E78" s="1556"/>
      <c r="F78" s="1556"/>
      <c r="G78" s="1556"/>
      <c r="H78" s="1556"/>
      <c r="I78" s="1556"/>
      <c r="J78" s="1556"/>
      <c r="K78" s="1556"/>
      <c r="L78" s="1556"/>
      <c r="V78" s="1520"/>
      <c r="W78" s="1219"/>
      <c r="X78" s="1219"/>
      <c r="Y78" s="1219"/>
      <c r="Z78" s="1219"/>
      <c r="AA78" s="1219"/>
    </row>
    <row r="79" spans="1:27">
      <c r="A79" s="55" t="s">
        <v>1483</v>
      </c>
      <c r="B79" s="1185" t="s">
        <v>33</v>
      </c>
      <c r="C79" s="1871"/>
      <c r="D79" s="910" t="s">
        <v>657</v>
      </c>
      <c r="E79" s="1872"/>
      <c r="F79" s="1872"/>
      <c r="G79" s="1872"/>
      <c r="H79" s="1872"/>
      <c r="I79" s="1872"/>
      <c r="J79" s="1872"/>
      <c r="K79" s="1872"/>
      <c r="L79" s="1873"/>
      <c r="V79" s="1520"/>
      <c r="W79" s="1219"/>
      <c r="X79" s="1219"/>
      <c r="Y79" s="1219"/>
      <c r="Z79" s="1219"/>
      <c r="AA79" s="1219"/>
    </row>
    <row r="80" spans="1:27">
      <c r="B80" s="922"/>
      <c r="C80" s="1189"/>
      <c r="D80" s="1899">
        <v>5</v>
      </c>
      <c r="E80" s="911">
        <v>15</v>
      </c>
      <c r="F80" s="911">
        <v>25</v>
      </c>
      <c r="G80" s="911">
        <v>50</v>
      </c>
      <c r="H80" s="911">
        <v>100</v>
      </c>
      <c r="I80" s="911">
        <v>200</v>
      </c>
      <c r="J80" s="911">
        <v>500</v>
      </c>
      <c r="K80" s="911">
        <v>1000</v>
      </c>
      <c r="L80" s="911">
        <v>3000</v>
      </c>
      <c r="V80" s="1520"/>
      <c r="W80" s="1219"/>
      <c r="X80" s="1219"/>
      <c r="Y80" s="1219"/>
      <c r="Z80" s="1219"/>
      <c r="AA80" s="1219"/>
    </row>
    <row r="81" spans="1:27">
      <c r="B81" s="911">
        <v>1</v>
      </c>
      <c r="C81" s="912" t="s">
        <v>271</v>
      </c>
      <c r="D81" s="1190">
        <v>0.6</v>
      </c>
      <c r="E81" s="1190">
        <v>0.5</v>
      </c>
      <c r="F81" s="1190">
        <v>0.45</v>
      </c>
      <c r="G81" s="1190">
        <v>0.4</v>
      </c>
      <c r="H81" s="1190">
        <v>0.36</v>
      </c>
      <c r="I81" s="1190">
        <v>0.33</v>
      </c>
      <c r="J81" s="1190">
        <v>0.28000000000000003</v>
      </c>
      <c r="K81" s="1190">
        <v>0.22</v>
      </c>
      <c r="L81" s="1190">
        <v>0.16</v>
      </c>
      <c r="V81" s="1520"/>
      <c r="W81" s="1219"/>
      <c r="X81" s="1219"/>
      <c r="Y81" s="1219"/>
      <c r="Z81" s="1219"/>
      <c r="AA81" s="1219"/>
    </row>
    <row r="82" spans="1:27">
      <c r="B82" s="17"/>
      <c r="C82" s="17"/>
      <c r="D82" s="17"/>
      <c r="E82" s="17"/>
      <c r="F82" s="17"/>
      <c r="G82" s="17"/>
      <c r="H82" s="17"/>
      <c r="I82" s="17"/>
      <c r="J82" s="17"/>
      <c r="K82" s="17"/>
      <c r="L82" s="17"/>
      <c r="M82" s="17"/>
      <c r="N82" s="17"/>
      <c r="O82" s="17"/>
      <c r="V82" s="1520"/>
      <c r="W82" s="1219"/>
      <c r="X82" s="1219"/>
      <c r="Y82" s="1219"/>
      <c r="Z82" s="1219"/>
      <c r="AA82" s="1219"/>
    </row>
    <row r="83" spans="1:27">
      <c r="B83" s="1216" t="s">
        <v>743</v>
      </c>
      <c r="C83" s="17"/>
      <c r="D83" s="299"/>
      <c r="E83" s="17"/>
      <c r="F83" s="17"/>
      <c r="G83" s="17"/>
      <c r="H83" s="17"/>
      <c r="I83" s="17"/>
      <c r="J83" s="17"/>
      <c r="K83" s="17"/>
      <c r="L83" s="17"/>
      <c r="M83" s="17"/>
      <c r="N83" s="17"/>
      <c r="O83" s="17"/>
      <c r="V83" s="1520"/>
      <c r="W83" s="1219"/>
      <c r="X83" s="1219"/>
      <c r="Y83" s="1219"/>
      <c r="Z83" s="1219"/>
      <c r="AA83" s="1219"/>
    </row>
    <row r="84" spans="1:27">
      <c r="B84" s="1885" t="s">
        <v>744</v>
      </c>
      <c r="C84" s="17"/>
      <c r="E84" s="17"/>
      <c r="F84" s="17"/>
      <c r="G84" s="17"/>
      <c r="H84" s="17"/>
      <c r="I84" s="17"/>
      <c r="J84" s="17"/>
      <c r="K84" s="17"/>
      <c r="L84" s="17"/>
      <c r="M84" s="17"/>
      <c r="N84" s="17"/>
      <c r="O84" s="17"/>
      <c r="V84" s="1520"/>
      <c r="W84" s="1219"/>
      <c r="X84" s="1219"/>
      <c r="Y84" s="1219"/>
      <c r="Z84" s="1219"/>
      <c r="AA84" s="1219"/>
    </row>
    <row r="85" spans="1:27">
      <c r="B85" s="17"/>
      <c r="C85" s="17"/>
      <c r="D85" s="17"/>
      <c r="E85" s="17"/>
      <c r="F85" s="17"/>
      <c r="H85" s="17"/>
      <c r="I85" s="17"/>
      <c r="J85" s="17"/>
      <c r="K85" s="17"/>
      <c r="L85" s="17"/>
      <c r="M85" s="17"/>
      <c r="N85" s="1184" t="s">
        <v>66</v>
      </c>
      <c r="O85" s="17"/>
      <c r="V85" s="1520"/>
      <c r="W85" s="1219"/>
      <c r="X85" s="1219"/>
      <c r="Y85" s="1219"/>
      <c r="Z85" s="1219"/>
      <c r="AA85" s="1219"/>
    </row>
    <row r="86" spans="1:27">
      <c r="A86" s="55" t="s">
        <v>1483</v>
      </c>
      <c r="B86" s="1185" t="s">
        <v>33</v>
      </c>
      <c r="C86" s="921" t="s">
        <v>81</v>
      </c>
      <c r="D86" s="1186" t="s">
        <v>954</v>
      </c>
      <c r="E86" s="1187"/>
      <c r="F86" s="1194"/>
      <c r="G86" s="1194"/>
      <c r="H86" s="1194"/>
      <c r="I86" s="1194"/>
      <c r="J86" s="1194"/>
      <c r="K86" s="1194"/>
      <c r="L86" s="1194"/>
      <c r="M86" s="1194"/>
      <c r="N86" s="1195"/>
      <c r="O86" s="17"/>
      <c r="P86" s="1210" t="s">
        <v>69</v>
      </c>
      <c r="Q86" s="1211" t="s">
        <v>70</v>
      </c>
      <c r="R86" s="1210" t="s">
        <v>71</v>
      </c>
      <c r="S86" s="1211" t="s">
        <v>72</v>
      </c>
      <c r="T86" s="1212" t="s">
        <v>641</v>
      </c>
      <c r="U86" s="1213" t="s">
        <v>411</v>
      </c>
      <c r="V86" s="1521" t="s">
        <v>69</v>
      </c>
      <c r="W86" s="1211" t="s">
        <v>70</v>
      </c>
      <c r="X86" s="1210" t="s">
        <v>71</v>
      </c>
      <c r="Y86" s="1211" t="s">
        <v>72</v>
      </c>
      <c r="Z86" s="1212" t="s">
        <v>641</v>
      </c>
      <c r="AA86" s="1213" t="s">
        <v>411</v>
      </c>
    </row>
    <row r="87" spans="1:27">
      <c r="B87" s="922"/>
      <c r="C87" s="1196"/>
      <c r="D87" s="1204">
        <v>10</v>
      </c>
      <c r="E87" s="1191">
        <v>20</v>
      </c>
      <c r="F87" s="1191">
        <v>50</v>
      </c>
      <c r="G87" s="1191">
        <v>100</v>
      </c>
      <c r="H87" s="1191">
        <v>200</v>
      </c>
      <c r="I87" s="1191">
        <v>500</v>
      </c>
      <c r="J87" s="1865">
        <v>1000</v>
      </c>
      <c r="K87" s="1865">
        <v>2000</v>
      </c>
      <c r="L87" s="1865">
        <v>5000</v>
      </c>
      <c r="M87" s="1865">
        <v>8000</v>
      </c>
      <c r="N87" s="1865">
        <v>10000</v>
      </c>
      <c r="O87" s="17"/>
      <c r="P87" s="1210">
        <f ca="1">IF(U87&lt;=$D$87,$D$87,INDEX($D$87:$N$87,1,MATCH(U87,$D$87:$N$87,1)))</f>
        <v>10</v>
      </c>
      <c r="Q87" s="1211">
        <f ca="1">IF(OR(U87&lt;=$D$87,U87&gt;=$N$87),P87,INDEX($D$87:$N$87,1,MATCH(U87,$D$87:$N$87,1)+1))</f>
        <v>10</v>
      </c>
      <c r="R87" s="1210">
        <f ca="1">INDEX($D$88:$N$92,CCT,MATCH(P87,$D$87:$N$87,1))</f>
        <v>2.0299999999999998</v>
      </c>
      <c r="S87" s="1211">
        <f ca="1">INDEX($D$88:$N$92,CCT,MATCH(Q87,$D$87:$N$87,1))</f>
        <v>2.0299999999999998</v>
      </c>
      <c r="T87" s="1212">
        <f ca="1">IF(R87=S87,S87,S87-(S87-R87)/(Q87-P87)*(Q87-U87))</f>
        <v>2.0299999999999998</v>
      </c>
      <c r="U87" s="1519">
        <f ca="1">D5</f>
        <v>0.34403316717430643</v>
      </c>
      <c r="V87" s="1521">
        <f>IF(AA87&lt;=$D$87,$D$87,INDEX($D$87:$N$87,1,MATCH(AA87,$D$87:$N$87,1)))</f>
        <v>10</v>
      </c>
      <c r="W87" s="1211">
        <f>IF(OR(AA87&lt;=$D$87,AA87&gt;=$N$87),V87,INDEX($D$87:$N$87,1,MATCH(AA87,$D$87:$N$87,1)+1))</f>
        <v>10</v>
      </c>
      <c r="X87" s="1210">
        <f>INDEX($D$88:$N$92,CCT,MATCH(V87,$D$87:$N$87,1))</f>
        <v>2.0299999999999998</v>
      </c>
      <c r="Y87" s="1211">
        <f>INDEX($D$88:$N$92,CCT,MATCH(W87,$D$87:$N$87,1))</f>
        <v>2.0299999999999998</v>
      </c>
      <c r="Z87" s="1212">
        <f>IF(X87=Y87,Y87,Y87-(Y87-X87)/(W87-V87)*(W87-AA87))</f>
        <v>2.0299999999999998</v>
      </c>
      <c r="AA87" s="1213">
        <f>E5</f>
        <v>0</v>
      </c>
    </row>
    <row r="88" spans="1:27">
      <c r="B88" s="911">
        <v>1</v>
      </c>
      <c r="C88" s="1192" t="s">
        <v>83</v>
      </c>
      <c r="D88" s="1255">
        <v>2.96</v>
      </c>
      <c r="E88" s="1255">
        <v>2.73</v>
      </c>
      <c r="F88" s="1255">
        <v>2.34</v>
      </c>
      <c r="G88" s="1255">
        <v>2.13</v>
      </c>
      <c r="H88" s="1255">
        <v>1.92</v>
      </c>
      <c r="I88" s="1255">
        <v>1.76</v>
      </c>
      <c r="J88" s="1255">
        <v>1.54</v>
      </c>
      <c r="K88" s="1255">
        <v>1.3</v>
      </c>
      <c r="L88" s="1255">
        <v>0.97</v>
      </c>
      <c r="M88" s="1255">
        <v>0.79</v>
      </c>
      <c r="N88" s="1255">
        <v>0.7</v>
      </c>
      <c r="O88" s="17"/>
      <c r="V88" s="1520"/>
      <c r="W88" s="1219"/>
      <c r="X88" s="1219"/>
      <c r="Y88" s="1219"/>
      <c r="Z88" s="1219"/>
      <c r="AA88" s="1219"/>
    </row>
    <row r="89" spans="1:27">
      <c r="B89" s="911">
        <v>2</v>
      </c>
      <c r="C89" s="1192" t="s">
        <v>85</v>
      </c>
      <c r="D89" s="1255">
        <v>2.4700000000000002</v>
      </c>
      <c r="E89" s="1255">
        <v>2.27</v>
      </c>
      <c r="F89" s="1255">
        <v>1.93</v>
      </c>
      <c r="G89" s="1255">
        <v>1.77</v>
      </c>
      <c r="H89" s="1255">
        <v>1.6</v>
      </c>
      <c r="I89" s="1255">
        <v>1.46</v>
      </c>
      <c r="J89" s="1255">
        <v>1.28</v>
      </c>
      <c r="K89" s="1255">
        <v>1.0900000000000001</v>
      </c>
      <c r="L89" s="1255">
        <v>0.8</v>
      </c>
      <c r="M89" s="1255">
        <v>0.65</v>
      </c>
      <c r="N89" s="1255">
        <v>0.57999999999999996</v>
      </c>
      <c r="O89" s="17"/>
      <c r="V89" s="1520"/>
      <c r="W89" s="1219"/>
      <c r="X89" s="1219"/>
      <c r="Y89" s="1219"/>
      <c r="Z89" s="1219"/>
      <c r="AA89" s="1219"/>
    </row>
    <row r="90" spans="1:27">
      <c r="B90" s="911">
        <v>3</v>
      </c>
      <c r="C90" s="1192" t="s">
        <v>86</v>
      </c>
      <c r="D90" s="1255">
        <v>2.0299999999999998</v>
      </c>
      <c r="E90" s="1255">
        <v>1.86</v>
      </c>
      <c r="F90" s="1255">
        <v>1.59</v>
      </c>
      <c r="G90" s="1255">
        <v>1.46</v>
      </c>
      <c r="H90" s="1255">
        <v>1.32</v>
      </c>
      <c r="I90" s="1255">
        <v>1.2</v>
      </c>
      <c r="J90" s="1255">
        <v>1.05</v>
      </c>
      <c r="K90" s="1255">
        <v>0.9</v>
      </c>
      <c r="L90" s="1255">
        <v>0.66</v>
      </c>
      <c r="M90" s="1255">
        <v>0.53</v>
      </c>
      <c r="N90" s="1255">
        <v>0.48</v>
      </c>
      <c r="O90" s="17"/>
      <c r="V90" s="1520"/>
      <c r="W90" s="1219"/>
      <c r="X90" s="1219"/>
      <c r="Y90" s="1219"/>
      <c r="Z90" s="1219"/>
      <c r="AA90" s="1219"/>
    </row>
    <row r="91" spans="1:27">
      <c r="B91" s="911">
        <v>4</v>
      </c>
      <c r="C91" s="1192" t="s">
        <v>88</v>
      </c>
      <c r="D91" s="1255">
        <v>1.78</v>
      </c>
      <c r="E91" s="1255">
        <v>1.65</v>
      </c>
      <c r="F91" s="1255">
        <v>1.4</v>
      </c>
      <c r="G91" s="1255">
        <v>1.27</v>
      </c>
      <c r="H91" s="1255">
        <v>1.17</v>
      </c>
      <c r="I91" s="1255">
        <v>1.06</v>
      </c>
      <c r="J91" s="1255">
        <v>0.93</v>
      </c>
      <c r="K91" s="1255">
        <v>0.79</v>
      </c>
      <c r="L91" s="1255">
        <v>0.57999999999999996</v>
      </c>
      <c r="M91" s="1255">
        <v>0.47</v>
      </c>
      <c r="N91" s="1255">
        <v>0.42</v>
      </c>
      <c r="O91" s="17"/>
      <c r="V91" s="1520"/>
      <c r="W91" s="1219"/>
      <c r="X91" s="1219"/>
      <c r="Y91" s="1219"/>
      <c r="Z91" s="1219"/>
      <c r="AA91" s="1219"/>
    </row>
    <row r="92" spans="1:27">
      <c r="B92" s="911">
        <v>5</v>
      </c>
      <c r="C92" s="1192" t="s">
        <v>89</v>
      </c>
      <c r="D92" s="1255">
        <v>1.59</v>
      </c>
      <c r="E92" s="1255">
        <v>1.47</v>
      </c>
      <c r="F92" s="1255">
        <v>1.24</v>
      </c>
      <c r="G92" s="1255">
        <v>1.1399999999999999</v>
      </c>
      <c r="H92" s="1255">
        <v>0.98</v>
      </c>
      <c r="I92" s="1255">
        <v>0.83</v>
      </c>
      <c r="J92" s="1255"/>
      <c r="K92" s="1255"/>
      <c r="L92" s="1255"/>
      <c r="M92" s="1255"/>
      <c r="N92" s="1255"/>
      <c r="O92" s="17"/>
      <c r="V92" s="1520"/>
      <c r="W92" s="1219"/>
      <c r="X92" s="1219"/>
      <c r="Y92" s="1219"/>
      <c r="Z92" s="1219"/>
      <c r="AA92" s="1219"/>
    </row>
    <row r="93" spans="1:27">
      <c r="B93" s="17"/>
      <c r="C93" s="17"/>
      <c r="E93" s="17"/>
      <c r="F93" s="17"/>
      <c r="G93" s="17"/>
      <c r="H93" s="17"/>
      <c r="I93" s="17"/>
      <c r="J93" s="17"/>
      <c r="K93" s="17"/>
      <c r="L93" s="17"/>
      <c r="M93" s="17"/>
      <c r="N93" s="17"/>
      <c r="O93" s="17"/>
      <c r="V93" s="1520"/>
      <c r="W93" s="1219"/>
      <c r="X93" s="1219"/>
      <c r="Y93" s="1219"/>
      <c r="Z93" s="1219"/>
      <c r="AA93" s="1219"/>
    </row>
    <row r="94" spans="1:27">
      <c r="B94" s="1885" t="s">
        <v>745</v>
      </c>
      <c r="C94" s="17"/>
      <c r="D94" s="299"/>
      <c r="E94" s="17"/>
      <c r="F94" s="17"/>
      <c r="G94" s="17"/>
      <c r="H94" s="17"/>
      <c r="I94" s="17"/>
      <c r="J94" s="17"/>
      <c r="K94" s="17"/>
      <c r="L94" s="17"/>
      <c r="M94" s="17"/>
      <c r="N94" s="17"/>
      <c r="O94" s="17"/>
      <c r="V94" s="1520"/>
      <c r="W94" s="1219"/>
      <c r="X94" s="1219"/>
      <c r="Y94" s="1219"/>
      <c r="Z94" s="1219"/>
      <c r="AA94" s="1219"/>
    </row>
    <row r="95" spans="1:27">
      <c r="C95" s="17"/>
      <c r="D95" s="17"/>
      <c r="E95" s="17"/>
      <c r="F95" s="17"/>
      <c r="G95" s="17"/>
      <c r="H95" s="17"/>
      <c r="I95" s="17"/>
      <c r="J95" s="17"/>
      <c r="K95" s="17"/>
      <c r="L95" s="17"/>
      <c r="M95" s="17"/>
      <c r="N95" s="1184" t="s">
        <v>66</v>
      </c>
      <c r="O95" s="17"/>
      <c r="V95" s="1520"/>
      <c r="W95" s="1219"/>
      <c r="X95" s="1219"/>
      <c r="Y95" s="1219"/>
      <c r="Z95" s="1219"/>
      <c r="AA95" s="1219"/>
    </row>
    <row r="96" spans="1:27">
      <c r="A96" s="55" t="s">
        <v>1483</v>
      </c>
      <c r="B96" s="1185" t="s">
        <v>33</v>
      </c>
      <c r="C96" s="921" t="s">
        <v>81</v>
      </c>
      <c r="D96" s="1186" t="s">
        <v>954</v>
      </c>
      <c r="E96" s="1187"/>
      <c r="F96" s="1194"/>
      <c r="G96" s="1194"/>
      <c r="H96" s="1194"/>
      <c r="I96" s="1194"/>
      <c r="J96" s="1194"/>
      <c r="K96" s="1194"/>
      <c r="L96" s="1194"/>
      <c r="M96" s="1194"/>
      <c r="N96" s="1195"/>
      <c r="O96" s="17"/>
      <c r="P96" s="1210" t="s">
        <v>69</v>
      </c>
      <c r="Q96" s="1211" t="s">
        <v>70</v>
      </c>
      <c r="R96" s="1210" t="s">
        <v>71</v>
      </c>
      <c r="S96" s="1211" t="s">
        <v>72</v>
      </c>
      <c r="T96" s="1212" t="s">
        <v>641</v>
      </c>
      <c r="U96" s="1213" t="s">
        <v>411</v>
      </c>
      <c r="V96" s="1521" t="s">
        <v>69</v>
      </c>
      <c r="W96" s="1211" t="s">
        <v>70</v>
      </c>
      <c r="X96" s="1210" t="s">
        <v>71</v>
      </c>
      <c r="Y96" s="1211" t="s">
        <v>72</v>
      </c>
      <c r="Z96" s="1212" t="s">
        <v>641</v>
      </c>
      <c r="AA96" s="1213" t="s">
        <v>411</v>
      </c>
    </row>
    <row r="97" spans="1:27">
      <c r="B97" s="922"/>
      <c r="C97" s="1196"/>
      <c r="D97" s="1204">
        <v>10</v>
      </c>
      <c r="E97" s="1191">
        <v>20</v>
      </c>
      <c r="F97" s="1191">
        <v>50</v>
      </c>
      <c r="G97" s="1191">
        <v>100</v>
      </c>
      <c r="H97" s="1191">
        <v>200</v>
      </c>
      <c r="I97" s="1191">
        <v>500</v>
      </c>
      <c r="J97" s="1865">
        <v>1000</v>
      </c>
      <c r="K97" s="1865">
        <v>2000</v>
      </c>
      <c r="L97" s="1865">
        <v>5000</v>
      </c>
      <c r="M97" s="1865">
        <v>8000</v>
      </c>
      <c r="N97" s="1865">
        <v>10000</v>
      </c>
      <c r="O97" s="17"/>
      <c r="P97" s="1210">
        <f ca="1">IF(U97&lt;=$D$97,$D$97,INDEX($D$97:$N$97,1,MATCH(U97,$D$97:$N$97,1)))</f>
        <v>10</v>
      </c>
      <c r="Q97" s="1211">
        <f ca="1">IF(OR(U97&lt;=$D$97,U97&gt;=$N$97),P97,INDEX($D$97:$N$97,1,MATCH(U97,$D$97:$N$97,1)+1))</f>
        <v>10</v>
      </c>
      <c r="R97" s="1210">
        <f ca="1">INDEX($D$98:$N$102,CCT,MATCH(P97,$D$97:$N$97,1))</f>
        <v>3.13</v>
      </c>
      <c r="S97" s="1211">
        <f ca="1">INDEX($D$98:$N$102,CCT,MATCH(Q97,$D$97:$N$97,1))</f>
        <v>3.13</v>
      </c>
      <c r="T97" s="1212">
        <f ca="1">IF(R97=S97,S97,S97-(S97-R97)/(Q97-P97)*(Q97-U97))</f>
        <v>3.13</v>
      </c>
      <c r="U97" s="1519">
        <f ca="1">D5</f>
        <v>0.34403316717430643</v>
      </c>
      <c r="V97" s="1521">
        <f>IF(AA97&lt;=$D$97,$D$97,INDEX($D$97:$N$97,1,MATCH(AA97,$D$97:$N$97,1)))</f>
        <v>10</v>
      </c>
      <c r="W97" s="1211">
        <f>IF(OR(AA97&lt;=$D$97,AA97&gt;=$N$97),V97,INDEX($D$97:$N$97,1,MATCH(AA97,$D$97:$N$97,1)+1))</f>
        <v>10</v>
      </c>
      <c r="X97" s="1210">
        <f>INDEX($D$98:$N$102,CCT,MATCH(V97,$D$97:$N$97,1))</f>
        <v>3.13</v>
      </c>
      <c r="Y97" s="1211">
        <f>INDEX($D$98:$N$102,CCT,MATCH(W97,$D$97:$N$97,1))</f>
        <v>3.13</v>
      </c>
      <c r="Z97" s="1212">
        <f>IF(X97=Y97,Y97,Y97-(Y97-X97)/(W97-V97)*(W97-AA97))</f>
        <v>3.13</v>
      </c>
      <c r="AA97" s="1213">
        <f>E5</f>
        <v>0</v>
      </c>
    </row>
    <row r="98" spans="1:27">
      <c r="B98" s="911">
        <v>1</v>
      </c>
      <c r="C98" s="1192" t="s">
        <v>83</v>
      </c>
      <c r="D98" s="1255">
        <v>4.7</v>
      </c>
      <c r="E98" s="1255">
        <v>4.2699999999999996</v>
      </c>
      <c r="F98" s="1255">
        <v>3.66</v>
      </c>
      <c r="G98" s="1255">
        <v>3.32</v>
      </c>
      <c r="H98" s="1255">
        <v>3.01</v>
      </c>
      <c r="I98" s="1255">
        <v>2.75</v>
      </c>
      <c r="J98" s="1255">
        <v>2.4</v>
      </c>
      <c r="K98" s="1255">
        <v>2.0299999999999998</v>
      </c>
      <c r="L98" s="1255">
        <v>1.52</v>
      </c>
      <c r="M98" s="1255">
        <v>1.21</v>
      </c>
      <c r="N98" s="1255">
        <v>1.04</v>
      </c>
      <c r="O98" s="17"/>
      <c r="V98" s="1520"/>
      <c r="W98" s="1219"/>
      <c r="X98" s="1219"/>
      <c r="Y98" s="1219"/>
      <c r="Z98" s="1219"/>
      <c r="AA98" s="1219"/>
    </row>
    <row r="99" spans="1:27">
      <c r="B99" s="911">
        <v>2</v>
      </c>
      <c r="C99" s="1192" t="s">
        <v>85</v>
      </c>
      <c r="D99" s="1255">
        <v>3.87</v>
      </c>
      <c r="E99" s="1255">
        <v>3.57</v>
      </c>
      <c r="F99" s="1255">
        <v>3.02</v>
      </c>
      <c r="G99" s="1255">
        <v>2.77</v>
      </c>
      <c r="H99" s="1255">
        <v>2.5</v>
      </c>
      <c r="I99" s="1255">
        <v>2.2799999999999998</v>
      </c>
      <c r="J99" s="1255">
        <v>2.0099999999999998</v>
      </c>
      <c r="K99" s="1255">
        <v>1.7</v>
      </c>
      <c r="L99" s="1255">
        <v>1.26</v>
      </c>
      <c r="M99" s="1255">
        <v>1.02</v>
      </c>
      <c r="N99" s="1255">
        <v>0.88</v>
      </c>
      <c r="O99" s="17"/>
      <c r="V99" s="1520"/>
      <c r="W99" s="1219"/>
      <c r="X99" s="1219"/>
      <c r="Y99" s="1219"/>
      <c r="Z99" s="1219"/>
      <c r="AA99" s="1219"/>
    </row>
    <row r="100" spans="1:27">
      <c r="B100" s="911">
        <v>3</v>
      </c>
      <c r="C100" s="1192" t="s">
        <v>86</v>
      </c>
      <c r="D100" s="1255">
        <v>3.13</v>
      </c>
      <c r="E100" s="1255">
        <v>2.9</v>
      </c>
      <c r="F100" s="1255">
        <v>2.4300000000000002</v>
      </c>
      <c r="G100" s="1255">
        <v>2.2400000000000002</v>
      </c>
      <c r="H100" s="1255">
        <v>2.0299999999999998</v>
      </c>
      <c r="I100" s="1255">
        <v>1.9</v>
      </c>
      <c r="J100" s="1255">
        <v>1.66</v>
      </c>
      <c r="K100" s="1255">
        <v>1.42</v>
      </c>
      <c r="L100" s="1255">
        <v>1.04</v>
      </c>
      <c r="M100" s="1255">
        <v>0.82</v>
      </c>
      <c r="N100" s="1255">
        <v>0.72</v>
      </c>
      <c r="O100" s="17"/>
      <c r="V100" s="1520"/>
      <c r="W100" s="1219"/>
      <c r="X100" s="1219"/>
      <c r="Y100" s="1219"/>
      <c r="Z100" s="1219"/>
      <c r="AA100" s="1219"/>
    </row>
    <row r="101" spans="1:27">
      <c r="B101" s="911">
        <v>4</v>
      </c>
      <c r="C101" s="1192" t="s">
        <v>88</v>
      </c>
      <c r="D101" s="1255">
        <v>2.78</v>
      </c>
      <c r="E101" s="1255">
        <v>2.57</v>
      </c>
      <c r="F101" s="1255">
        <v>2.16</v>
      </c>
      <c r="G101" s="1255">
        <v>1.99</v>
      </c>
      <c r="H101" s="1255">
        <v>1.79</v>
      </c>
      <c r="I101" s="1255">
        <v>1.68</v>
      </c>
      <c r="J101" s="1255">
        <v>1.47</v>
      </c>
      <c r="K101" s="1255">
        <v>1.25</v>
      </c>
      <c r="L101" s="1255">
        <v>0.91</v>
      </c>
      <c r="M101" s="1255">
        <v>0.72</v>
      </c>
      <c r="N101" s="1255">
        <v>0.64</v>
      </c>
      <c r="O101" s="17"/>
      <c r="V101" s="1520"/>
      <c r="W101" s="1219"/>
      <c r="X101" s="1219"/>
      <c r="Y101" s="1219"/>
      <c r="Z101" s="1219"/>
      <c r="AA101" s="1219"/>
    </row>
    <row r="102" spans="1:27">
      <c r="B102" s="911">
        <v>5</v>
      </c>
      <c r="C102" s="1192" t="s">
        <v>89</v>
      </c>
      <c r="D102" s="1255">
        <v>2.46</v>
      </c>
      <c r="E102" s="1255">
        <v>2.25</v>
      </c>
      <c r="F102" s="1255">
        <v>1.89</v>
      </c>
      <c r="G102" s="1255">
        <v>1.72</v>
      </c>
      <c r="H102" s="1255">
        <v>1.47</v>
      </c>
      <c r="I102" s="1255">
        <v>1.22</v>
      </c>
      <c r="J102" s="1255"/>
      <c r="K102" s="1255"/>
      <c r="L102" s="1255"/>
      <c r="M102" s="1255"/>
      <c r="N102" s="1255"/>
      <c r="O102" s="17"/>
      <c r="V102" s="1520"/>
      <c r="W102" s="1219"/>
      <c r="X102" s="1219"/>
      <c r="Y102" s="1219"/>
      <c r="Z102" s="1219"/>
      <c r="AA102" s="1219"/>
    </row>
    <row r="103" spans="1:27">
      <c r="B103" s="17"/>
      <c r="C103" s="17"/>
      <c r="D103" s="17"/>
      <c r="E103" s="17"/>
      <c r="F103" s="17"/>
      <c r="G103" s="17"/>
      <c r="H103" s="17"/>
      <c r="I103" s="17"/>
      <c r="J103" s="17"/>
      <c r="K103" s="17"/>
      <c r="L103" s="17"/>
      <c r="M103" s="17"/>
      <c r="N103" s="17"/>
      <c r="O103" s="17"/>
      <c r="V103" s="1520"/>
      <c r="W103" s="1219"/>
      <c r="X103" s="1219"/>
      <c r="Y103" s="1219"/>
      <c r="Z103" s="1219"/>
      <c r="AA103" s="1219"/>
    </row>
    <row r="104" spans="1:27" s="1545" customFormat="1">
      <c r="B104" s="1885" t="s">
        <v>1378</v>
      </c>
      <c r="C104" s="1546"/>
      <c r="D104" s="1546"/>
      <c r="E104" s="1546"/>
      <c r="F104" s="1546"/>
      <c r="G104" s="1546"/>
      <c r="H104" s="1546"/>
      <c r="I104" s="1546"/>
      <c r="J104" s="1546"/>
      <c r="K104" s="1546"/>
      <c r="L104" s="1546"/>
      <c r="M104" s="1546"/>
      <c r="N104" s="1546"/>
      <c r="O104" s="1546"/>
      <c r="P104" s="1548"/>
      <c r="Q104" s="1548"/>
      <c r="R104" s="1548"/>
      <c r="S104" s="1548"/>
      <c r="T104" s="1548"/>
      <c r="U104" s="1548"/>
      <c r="V104" s="1549"/>
      <c r="W104" s="1548"/>
      <c r="X104" s="1548"/>
      <c r="Y104" s="1548"/>
      <c r="Z104" s="1548"/>
      <c r="AA104" s="1548"/>
    </row>
    <row r="105" spans="1:27">
      <c r="B105" s="17"/>
      <c r="C105" s="17"/>
      <c r="D105" s="17"/>
      <c r="E105" s="17"/>
      <c r="F105" s="17"/>
      <c r="G105" s="17"/>
      <c r="H105" s="17"/>
      <c r="I105" s="17"/>
      <c r="J105" s="1184" t="s">
        <v>66</v>
      </c>
      <c r="K105" s="17"/>
      <c r="L105" s="17"/>
      <c r="M105" s="17"/>
      <c r="N105" s="17"/>
      <c r="O105" s="17"/>
      <c r="V105" s="1520"/>
      <c r="W105" s="1219"/>
      <c r="X105" s="1219"/>
      <c r="Y105" s="1219"/>
      <c r="Z105" s="1219"/>
      <c r="AA105" s="1219"/>
    </row>
    <row r="106" spans="1:27">
      <c r="A106" s="55" t="s">
        <v>1483</v>
      </c>
      <c r="B106" s="1197" t="s">
        <v>33</v>
      </c>
      <c r="C106" s="921" t="s">
        <v>1379</v>
      </c>
      <c r="D106" s="910" t="s">
        <v>1380</v>
      </c>
      <c r="E106" s="910"/>
      <c r="F106" s="910"/>
      <c r="G106" s="910"/>
      <c r="H106" s="910"/>
      <c r="I106" s="910"/>
      <c r="J106" s="910"/>
      <c r="K106" s="17"/>
      <c r="L106" s="17"/>
      <c r="M106" s="17"/>
      <c r="N106" s="17"/>
      <c r="O106" s="17"/>
      <c r="V106" s="1520"/>
      <c r="W106" s="1219"/>
      <c r="X106" s="1219"/>
      <c r="Y106" s="1219"/>
      <c r="Z106" s="1219"/>
      <c r="AA106" s="1219"/>
    </row>
    <row r="107" spans="1:27">
      <c r="B107" s="1189"/>
      <c r="C107" s="1189"/>
      <c r="D107" s="1899">
        <v>5</v>
      </c>
      <c r="E107" s="911">
        <v>15</v>
      </c>
      <c r="F107" s="911">
        <v>25</v>
      </c>
      <c r="G107" s="911">
        <v>50</v>
      </c>
      <c r="H107" s="911">
        <v>100</v>
      </c>
      <c r="I107" s="911">
        <v>200</v>
      </c>
      <c r="J107" s="911">
        <v>500</v>
      </c>
      <c r="K107" s="17"/>
      <c r="L107" s="17"/>
      <c r="M107" s="17"/>
      <c r="N107" s="17"/>
      <c r="O107" s="17"/>
      <c r="V107" s="1520"/>
      <c r="W107" s="1219"/>
      <c r="X107" s="1219"/>
      <c r="Y107" s="1219"/>
      <c r="Z107" s="1219"/>
      <c r="AA107" s="1219"/>
    </row>
    <row r="108" spans="1:27">
      <c r="B108" s="911">
        <v>1</v>
      </c>
      <c r="C108" s="912" t="s">
        <v>1381</v>
      </c>
      <c r="D108" s="1190">
        <v>1.7</v>
      </c>
      <c r="E108" s="1190">
        <v>1.4</v>
      </c>
      <c r="F108" s="1190">
        <v>1.3</v>
      </c>
      <c r="G108" s="1190">
        <v>1.2</v>
      </c>
      <c r="H108" s="1190">
        <v>1.1000000000000001</v>
      </c>
      <c r="I108" s="1190">
        <v>0.95</v>
      </c>
      <c r="J108" s="1190">
        <v>0.85</v>
      </c>
      <c r="K108" s="17"/>
      <c r="L108" s="17"/>
      <c r="M108" s="17"/>
      <c r="N108" s="17"/>
      <c r="O108" s="17"/>
      <c r="V108" s="1520"/>
      <c r="W108" s="1219"/>
      <c r="X108" s="1219"/>
      <c r="Y108" s="1219"/>
      <c r="Z108" s="1219"/>
      <c r="AA108" s="1219"/>
    </row>
    <row r="109" spans="1:27">
      <c r="B109" s="911">
        <v>2</v>
      </c>
      <c r="C109" s="912" t="s">
        <v>1514</v>
      </c>
      <c r="D109" s="1190">
        <v>1.9</v>
      </c>
      <c r="E109" s="1190">
        <v>1.6</v>
      </c>
      <c r="F109" s="1190">
        <v>1.45</v>
      </c>
      <c r="G109" s="1190">
        <v>1.3</v>
      </c>
      <c r="H109" s="1190">
        <v>1.2</v>
      </c>
      <c r="I109" s="1190">
        <v>1.05</v>
      </c>
      <c r="J109" s="1190">
        <v>0.95</v>
      </c>
      <c r="K109" s="17"/>
      <c r="L109" s="17"/>
      <c r="M109" s="17"/>
      <c r="N109" s="17"/>
      <c r="O109" s="17"/>
      <c r="V109" s="1520"/>
      <c r="W109" s="1219"/>
      <c r="X109" s="1219"/>
      <c r="Y109" s="1219"/>
      <c r="Z109" s="1219"/>
      <c r="AA109" s="1219"/>
    </row>
    <row r="110" spans="1:27">
      <c r="A110" s="1906" t="s">
        <v>1482</v>
      </c>
      <c r="B110" s="911">
        <v>3</v>
      </c>
      <c r="C110" s="912" t="s">
        <v>1382</v>
      </c>
      <c r="D110" s="1190">
        <v>1.65</v>
      </c>
      <c r="E110" s="1190">
        <v>1.43</v>
      </c>
      <c r="F110" s="1190">
        <v>1.27</v>
      </c>
      <c r="G110" s="1190">
        <v>1.1599999999999999</v>
      </c>
      <c r="H110" s="1190">
        <v>1.05</v>
      </c>
      <c r="I110" s="1190">
        <v>0.94</v>
      </c>
      <c r="J110" s="1190">
        <v>0.83</v>
      </c>
      <c r="K110" s="17"/>
      <c r="L110" s="17"/>
      <c r="M110" s="17"/>
      <c r="N110" s="17"/>
      <c r="O110" s="17"/>
      <c r="V110" s="1520"/>
      <c r="W110" s="1219"/>
      <c r="X110" s="1219"/>
      <c r="Y110" s="1219"/>
      <c r="Z110" s="1219"/>
      <c r="AA110" s="1219"/>
    </row>
    <row r="111" spans="1:27">
      <c r="B111" s="17"/>
      <c r="C111" s="17"/>
      <c r="D111" s="17"/>
      <c r="E111" s="17"/>
      <c r="F111" s="17"/>
      <c r="G111" s="17"/>
      <c r="H111" s="17"/>
      <c r="I111" s="17"/>
      <c r="J111" s="17"/>
      <c r="K111" s="17"/>
      <c r="L111" s="17"/>
      <c r="M111" s="17"/>
      <c r="N111" s="17"/>
      <c r="O111" s="17"/>
      <c r="V111" s="1520"/>
      <c r="W111" s="1219"/>
      <c r="X111" s="1219"/>
      <c r="Y111" s="1219"/>
      <c r="Z111" s="1219"/>
      <c r="AA111" s="1219"/>
    </row>
    <row r="112" spans="1:27" s="1518" customFormat="1">
      <c r="B112" s="1885" t="s">
        <v>1383</v>
      </c>
      <c r="C112" s="1547"/>
      <c r="D112" s="1547"/>
      <c r="E112" s="1547"/>
      <c r="F112" s="1547"/>
      <c r="G112" s="1547"/>
      <c r="H112" s="1547"/>
      <c r="I112" s="1547"/>
      <c r="J112" s="1547"/>
      <c r="K112" s="1547"/>
      <c r="L112" s="1547"/>
      <c r="M112" s="1547"/>
      <c r="N112" s="1547"/>
      <c r="O112" s="1547"/>
      <c r="P112" s="1557"/>
      <c r="Q112" s="1557"/>
      <c r="R112" s="1557"/>
      <c r="S112" s="1557"/>
      <c r="T112" s="1557"/>
      <c r="U112" s="1557"/>
      <c r="V112" s="1558"/>
      <c r="W112" s="1557"/>
      <c r="X112" s="1557"/>
      <c r="Y112" s="1557"/>
      <c r="Z112" s="1557"/>
      <c r="AA112" s="1557"/>
    </row>
    <row r="113" spans="1:27">
      <c r="B113" s="17"/>
      <c r="C113" s="17"/>
      <c r="D113" s="17"/>
      <c r="E113" s="17"/>
      <c r="F113" s="17"/>
      <c r="G113" s="17"/>
      <c r="H113" s="17"/>
      <c r="I113" s="17"/>
      <c r="J113" s="17"/>
      <c r="K113" s="17"/>
      <c r="L113" s="1184" t="s">
        <v>66</v>
      </c>
      <c r="M113" s="17"/>
      <c r="N113" s="17"/>
      <c r="O113" s="17"/>
      <c r="V113" s="1520"/>
      <c r="W113" s="1219"/>
      <c r="X113" s="1219"/>
      <c r="Y113" s="1219"/>
      <c r="Z113" s="1219"/>
      <c r="AA113" s="1219"/>
    </row>
    <row r="114" spans="1:27">
      <c r="A114" s="55" t="s">
        <v>1483</v>
      </c>
      <c r="B114" s="921" t="s">
        <v>33</v>
      </c>
      <c r="C114" s="921" t="s">
        <v>449</v>
      </c>
      <c r="D114" s="910" t="s">
        <v>657</v>
      </c>
      <c r="E114" s="910"/>
      <c r="F114" s="910"/>
      <c r="G114" s="910"/>
      <c r="H114" s="910"/>
      <c r="I114" s="910"/>
      <c r="J114" s="910"/>
      <c r="K114" s="910"/>
      <c r="L114" s="910"/>
      <c r="M114" s="17"/>
      <c r="N114" s="17"/>
      <c r="O114" s="17"/>
      <c r="V114" s="1520"/>
      <c r="W114" s="1219"/>
      <c r="X114" s="1219"/>
      <c r="Y114" s="1219"/>
      <c r="Z114" s="1219"/>
      <c r="AA114" s="1219"/>
    </row>
    <row r="115" spans="1:27">
      <c r="B115" s="922"/>
      <c r="C115" s="922"/>
      <c r="D115" s="1899">
        <v>5</v>
      </c>
      <c r="E115" s="911">
        <v>15</v>
      </c>
      <c r="F115" s="911">
        <v>25</v>
      </c>
      <c r="G115" s="911">
        <v>50</v>
      </c>
      <c r="H115" s="911">
        <v>100</v>
      </c>
      <c r="I115" s="911">
        <v>200</v>
      </c>
      <c r="J115" s="911">
        <v>500</v>
      </c>
      <c r="K115" s="911">
        <v>1000</v>
      </c>
      <c r="L115" s="911">
        <v>3000</v>
      </c>
      <c r="M115" s="17"/>
      <c r="N115" s="17"/>
      <c r="O115" s="17"/>
      <c r="V115" s="1520"/>
      <c r="W115" s="1219"/>
      <c r="X115" s="1219"/>
      <c r="Y115" s="1219"/>
      <c r="Z115" s="1219"/>
      <c r="AA115" s="1219"/>
    </row>
    <row r="116" spans="1:27">
      <c r="B116" s="911">
        <v>1</v>
      </c>
      <c r="C116" s="912" t="s">
        <v>1384</v>
      </c>
      <c r="D116" s="1190">
        <v>1.1000000000000001</v>
      </c>
      <c r="E116" s="1190">
        <v>1</v>
      </c>
      <c r="F116" s="1190">
        <v>0.9</v>
      </c>
      <c r="G116" s="1190">
        <v>0.85</v>
      </c>
      <c r="H116" s="1190">
        <v>0.8</v>
      </c>
      <c r="I116" s="1190">
        <v>0.7</v>
      </c>
      <c r="J116" s="1190">
        <v>0.6</v>
      </c>
      <c r="K116" s="1190">
        <v>0.55000000000000004</v>
      </c>
      <c r="L116" s="1190">
        <v>0.45</v>
      </c>
      <c r="M116" s="17"/>
      <c r="N116" s="17"/>
      <c r="O116" s="17"/>
      <c r="V116" s="1520"/>
      <c r="W116" s="1219"/>
      <c r="X116" s="1219"/>
      <c r="Y116" s="1219"/>
      <c r="Z116" s="1219"/>
      <c r="AA116" s="1219"/>
    </row>
    <row r="117" spans="1:27">
      <c r="B117" s="911">
        <v>2</v>
      </c>
      <c r="C117" s="912" t="s">
        <v>1385</v>
      </c>
      <c r="D117" s="1190">
        <v>0.95</v>
      </c>
      <c r="E117" s="1190">
        <v>0.85</v>
      </c>
      <c r="F117" s="1190">
        <v>0.8</v>
      </c>
      <c r="G117" s="1190">
        <v>0.75</v>
      </c>
      <c r="H117" s="1190">
        <v>0.7</v>
      </c>
      <c r="I117" s="1190">
        <v>0.6</v>
      </c>
      <c r="J117" s="1190">
        <v>0.55000000000000004</v>
      </c>
      <c r="K117" s="1190">
        <v>0.5</v>
      </c>
      <c r="L117" s="1190">
        <v>0.4</v>
      </c>
      <c r="M117" s="17"/>
      <c r="N117" s="17"/>
      <c r="O117" s="17"/>
      <c r="V117" s="1520"/>
      <c r="W117" s="1219"/>
      <c r="X117" s="1219"/>
      <c r="Y117" s="1219"/>
      <c r="Z117" s="1219"/>
      <c r="AA117" s="1219"/>
    </row>
    <row r="118" spans="1:27">
      <c r="B118" s="911">
        <v>3</v>
      </c>
      <c r="C118" s="912" t="s">
        <v>1386</v>
      </c>
      <c r="D118" s="1190">
        <v>1.1499999999999999</v>
      </c>
      <c r="E118" s="1190">
        <v>1</v>
      </c>
      <c r="F118" s="1190">
        <v>0.95</v>
      </c>
      <c r="G118" s="1190">
        <v>0.9</v>
      </c>
      <c r="H118" s="1190">
        <v>0.8</v>
      </c>
      <c r="I118" s="1190">
        <v>0.75</v>
      </c>
      <c r="J118" s="1190">
        <v>0.65</v>
      </c>
      <c r="K118" s="1190">
        <v>0.6</v>
      </c>
      <c r="L118" s="1190">
        <v>0.5</v>
      </c>
      <c r="M118" s="17"/>
      <c r="N118" s="17"/>
      <c r="O118" s="17"/>
      <c r="V118" s="1520"/>
      <c r="W118" s="1219"/>
      <c r="X118" s="1219"/>
      <c r="Y118" s="1219"/>
      <c r="Z118" s="1219"/>
      <c r="AA118" s="1219"/>
    </row>
    <row r="119" spans="1:27">
      <c r="B119" s="911">
        <v>4</v>
      </c>
      <c r="C119" s="912" t="s">
        <v>1387</v>
      </c>
      <c r="D119" s="1907">
        <v>0</v>
      </c>
      <c r="E119" s="1907">
        <v>0</v>
      </c>
      <c r="F119" s="1907">
        <v>0</v>
      </c>
      <c r="G119" s="1190">
        <v>1.1499999999999999</v>
      </c>
      <c r="H119" s="1190">
        <v>1.1000000000000001</v>
      </c>
      <c r="I119" s="1190">
        <v>1.05</v>
      </c>
      <c r="J119" s="1190">
        <v>1.01</v>
      </c>
      <c r="K119" s="1190">
        <v>0.96</v>
      </c>
      <c r="L119" s="1190">
        <v>0.8</v>
      </c>
      <c r="M119" s="17"/>
      <c r="N119" s="17"/>
      <c r="O119" s="17"/>
      <c r="V119" s="1520"/>
      <c r="W119" s="1219"/>
      <c r="X119" s="1219"/>
      <c r="Y119" s="1219"/>
      <c r="Z119" s="1219"/>
      <c r="AA119" s="1219"/>
    </row>
    <row r="120" spans="1:27">
      <c r="A120" s="1906" t="s">
        <v>1484</v>
      </c>
      <c r="B120" s="911">
        <v>5</v>
      </c>
      <c r="C120" s="912" t="s">
        <v>1388</v>
      </c>
      <c r="D120" s="1190">
        <v>0.73</v>
      </c>
      <c r="E120" s="1190">
        <v>0.65</v>
      </c>
      <c r="F120" s="1190">
        <v>0.56000000000000005</v>
      </c>
      <c r="G120" s="1190">
        <v>0.51</v>
      </c>
      <c r="H120" s="1190">
        <v>0.48</v>
      </c>
      <c r="I120" s="1190">
        <v>0.42</v>
      </c>
      <c r="J120" s="1190">
        <v>0.37</v>
      </c>
      <c r="K120" s="1190">
        <v>0.34</v>
      </c>
      <c r="L120" s="1190">
        <v>0.3</v>
      </c>
      <c r="M120" s="17"/>
      <c r="N120" s="17"/>
      <c r="O120" s="17"/>
      <c r="V120" s="1520"/>
      <c r="W120" s="1219"/>
      <c r="X120" s="1219"/>
      <c r="Y120" s="1219"/>
      <c r="Z120" s="1219"/>
      <c r="AA120" s="1219"/>
    </row>
    <row r="121" spans="1:27">
      <c r="B121" s="17"/>
      <c r="C121" s="17"/>
      <c r="D121" s="17"/>
      <c r="E121" s="17"/>
      <c r="F121" s="17"/>
      <c r="G121" s="17"/>
      <c r="H121" s="17"/>
      <c r="I121" s="17"/>
      <c r="J121" s="17"/>
      <c r="K121" s="17"/>
      <c r="L121" s="17"/>
      <c r="M121" s="17"/>
      <c r="N121" s="17"/>
      <c r="O121" s="17"/>
      <c r="V121" s="1520"/>
      <c r="W121" s="1219"/>
      <c r="X121" s="1219"/>
      <c r="Y121" s="1219"/>
      <c r="Z121" s="1219"/>
      <c r="AA121" s="1219"/>
    </row>
    <row r="122" spans="1:27">
      <c r="B122" s="1216" t="s">
        <v>746</v>
      </c>
      <c r="C122" s="17"/>
      <c r="D122" s="17"/>
      <c r="E122" s="17"/>
      <c r="F122" s="17"/>
      <c r="G122" s="17"/>
      <c r="H122" s="17"/>
      <c r="I122" s="17"/>
      <c r="J122" s="17"/>
      <c r="K122" s="17"/>
      <c r="L122" s="17"/>
      <c r="M122" s="17"/>
      <c r="N122" s="17"/>
      <c r="O122" s="17"/>
      <c r="V122" s="1520"/>
      <c r="W122" s="1219"/>
      <c r="X122" s="1219"/>
      <c r="Y122" s="1219"/>
      <c r="Z122" s="1219"/>
      <c r="AA122" s="1219"/>
    </row>
    <row r="123" spans="1:27">
      <c r="B123" s="1885" t="s">
        <v>747</v>
      </c>
      <c r="C123" s="17"/>
      <c r="D123" s="17"/>
      <c r="E123" s="17"/>
      <c r="F123" s="17"/>
      <c r="G123" s="17"/>
      <c r="H123" s="17"/>
      <c r="I123" s="17"/>
      <c r="J123" s="17"/>
      <c r="K123" s="17"/>
      <c r="L123" s="17"/>
      <c r="M123" s="17"/>
      <c r="N123" s="17"/>
      <c r="O123" s="17"/>
      <c r="V123" s="1520"/>
      <c r="W123" s="1219"/>
      <c r="X123" s="1219"/>
      <c r="Y123" s="1219"/>
      <c r="Z123" s="1219"/>
      <c r="AA123" s="1219"/>
    </row>
    <row r="124" spans="1:27">
      <c r="B124" s="299"/>
      <c r="C124" s="17"/>
      <c r="D124" s="17"/>
      <c r="E124" s="17"/>
      <c r="F124" s="17"/>
      <c r="G124" s="17"/>
      <c r="H124" s="17"/>
      <c r="I124" s="17"/>
      <c r="J124" s="17"/>
      <c r="K124" s="17"/>
      <c r="L124" s="17"/>
      <c r="M124" s="17"/>
      <c r="N124" s="1184" t="s">
        <v>66</v>
      </c>
      <c r="O124" s="17"/>
      <c r="V124" s="1520"/>
      <c r="W124" s="1219"/>
      <c r="X124" s="1219"/>
      <c r="Y124" s="1219"/>
      <c r="Z124" s="1219"/>
      <c r="AA124" s="1219"/>
    </row>
    <row r="125" spans="1:27">
      <c r="A125" s="55" t="s">
        <v>1483</v>
      </c>
      <c r="B125" s="1185" t="s">
        <v>33</v>
      </c>
      <c r="C125" s="921" t="s">
        <v>81</v>
      </c>
      <c r="D125" s="1186" t="s">
        <v>954</v>
      </c>
      <c r="E125" s="1187"/>
      <c r="F125" s="1194"/>
      <c r="G125" s="1194"/>
      <c r="H125" s="1194"/>
      <c r="I125" s="1194"/>
      <c r="J125" s="1194"/>
      <c r="K125" s="1194"/>
      <c r="L125" s="1194"/>
      <c r="M125" s="1194"/>
      <c r="N125" s="1195"/>
      <c r="O125" s="17"/>
      <c r="P125" s="1210" t="s">
        <v>69</v>
      </c>
      <c r="Q125" s="1211" t="s">
        <v>70</v>
      </c>
      <c r="R125" s="1210" t="s">
        <v>71</v>
      </c>
      <c r="S125" s="1211" t="s">
        <v>72</v>
      </c>
      <c r="T125" s="1212" t="s">
        <v>641</v>
      </c>
      <c r="U125" s="1213" t="s">
        <v>411</v>
      </c>
      <c r="V125" s="1521" t="s">
        <v>69</v>
      </c>
      <c r="W125" s="1211" t="s">
        <v>70</v>
      </c>
      <c r="X125" s="1210" t="s">
        <v>71</v>
      </c>
      <c r="Y125" s="1211" t="s">
        <v>72</v>
      </c>
      <c r="Z125" s="1212" t="s">
        <v>641</v>
      </c>
      <c r="AA125" s="1213" t="s">
        <v>411</v>
      </c>
    </row>
    <row r="126" spans="1:27">
      <c r="B126" s="922"/>
      <c r="C126" s="1196"/>
      <c r="D126" s="1204">
        <v>10</v>
      </c>
      <c r="E126" s="1191">
        <v>20</v>
      </c>
      <c r="F126" s="1191">
        <v>50</v>
      </c>
      <c r="G126" s="1191">
        <v>100</v>
      </c>
      <c r="H126" s="1191">
        <v>200</v>
      </c>
      <c r="I126" s="1191">
        <v>500</v>
      </c>
      <c r="J126" s="1865">
        <v>1000</v>
      </c>
      <c r="K126" s="1865">
        <v>2000</v>
      </c>
      <c r="L126" s="1865">
        <v>5000</v>
      </c>
      <c r="M126" s="1865">
        <v>8000</v>
      </c>
      <c r="N126" s="1865">
        <v>10000</v>
      </c>
      <c r="O126" s="17"/>
      <c r="P126" s="1210">
        <f ca="1">IF(U126&lt;=$D$126,$D$126,INDEX($D$126:$N$126,1,MATCH(U126,$D$126:$N$126,1)))</f>
        <v>10</v>
      </c>
      <c r="Q126" s="1211">
        <f ca="1">IF(OR(U126&lt;=$D$126,U126&gt;=$N$126),P126,INDEX($D$126:$N$126,1,MATCH(U126,$D$126:$N$126,1)+1))</f>
        <v>10</v>
      </c>
      <c r="R126" s="1210">
        <f ca="1">INDEX($D$127:$N$131,CCT,MATCH(P126,$D$126:$N$126,1))</f>
        <v>1.19</v>
      </c>
      <c r="S126" s="1211">
        <f ca="1">INDEX($D$127:$N$131,CCT,MATCH(Q126,$D$126:$N$126,1))</f>
        <v>1.19</v>
      </c>
      <c r="T126" s="1212">
        <f ca="1">IF(R126=S126,S126,S126-(S126-R126)/(Q126-P126)*(Q126-U126))</f>
        <v>1.19</v>
      </c>
      <c r="U126" s="1519">
        <f ca="1">D5</f>
        <v>0.34403316717430643</v>
      </c>
      <c r="V126" s="1521">
        <f>IF(AA126&lt;=$D$126,$D$126,INDEX($D$126:$N$126,1,MATCH(AA126,$D$126:$N$126,1)))</f>
        <v>10</v>
      </c>
      <c r="W126" s="1211">
        <f>IF(OR(AA126&lt;=$D$126,AA126&gt;=$N$126),V126,INDEX($D$126:$N$126,1,MATCH(AA126,$D$126:$N$126,1)+1))</f>
        <v>10</v>
      </c>
      <c r="X126" s="1210">
        <f>INDEX($D$127:$N$131,CCT,MATCH(V126,$D$126:$N$126,1))</f>
        <v>1.19</v>
      </c>
      <c r="Y126" s="1211">
        <f>INDEX($D$127:$N$131,CCT,MATCH(W126,$D$126:$N$126,1))</f>
        <v>1.19</v>
      </c>
      <c r="Z126" s="1212">
        <f>IF(X126=Y126,Y126,Y126-(Y126-X126)/(W126-V126)*(W126-AA126))</f>
        <v>1.19</v>
      </c>
      <c r="AA126" s="1213">
        <f>E5</f>
        <v>0</v>
      </c>
    </row>
    <row r="127" spans="1:27">
      <c r="B127" s="911">
        <v>1</v>
      </c>
      <c r="C127" s="1192" t="s">
        <v>83</v>
      </c>
      <c r="D127" s="1255">
        <v>2.0499999999999998</v>
      </c>
      <c r="E127" s="1255">
        <v>1.92</v>
      </c>
      <c r="F127" s="1255">
        <v>1.68</v>
      </c>
      <c r="G127" s="1255">
        <v>1.5</v>
      </c>
      <c r="H127" s="1255">
        <v>1.36</v>
      </c>
      <c r="I127" s="1255">
        <v>1.24</v>
      </c>
      <c r="J127" s="1255">
        <v>1.08</v>
      </c>
      <c r="K127" s="1255">
        <v>0.92</v>
      </c>
      <c r="L127" s="1255">
        <v>0.68</v>
      </c>
      <c r="M127" s="1255">
        <v>0.51</v>
      </c>
      <c r="N127" s="1255">
        <v>0.45</v>
      </c>
      <c r="O127" s="17"/>
      <c r="V127" s="1520"/>
      <c r="W127" s="1219"/>
      <c r="X127" s="1219"/>
      <c r="Y127" s="1219"/>
      <c r="Z127" s="1219"/>
      <c r="AA127" s="1219"/>
    </row>
    <row r="128" spans="1:27">
      <c r="B128" s="911">
        <v>2</v>
      </c>
      <c r="C128" s="1192" t="s">
        <v>85</v>
      </c>
      <c r="D128" s="1255">
        <v>1.44</v>
      </c>
      <c r="E128" s="1255">
        <v>1.39</v>
      </c>
      <c r="F128" s="1255">
        <v>1.1299999999999999</v>
      </c>
      <c r="G128" s="1255">
        <v>1.05</v>
      </c>
      <c r="H128" s="1255">
        <v>0.95</v>
      </c>
      <c r="I128" s="1255">
        <v>0.81</v>
      </c>
      <c r="J128" s="1255">
        <v>0.68</v>
      </c>
      <c r="K128" s="1255">
        <v>0.57999999999999996</v>
      </c>
      <c r="L128" s="1255">
        <v>0.44</v>
      </c>
      <c r="M128" s="1255">
        <v>0.34</v>
      </c>
      <c r="N128" s="1255">
        <v>0.28000000000000003</v>
      </c>
      <c r="O128" s="17"/>
      <c r="V128" s="1520"/>
      <c r="W128" s="1219"/>
      <c r="X128" s="1219"/>
      <c r="Y128" s="1219"/>
      <c r="Z128" s="1219"/>
      <c r="AA128" s="1219"/>
    </row>
    <row r="129" spans="1:27">
      <c r="B129" s="911">
        <v>3</v>
      </c>
      <c r="C129" s="1192" t="s">
        <v>86</v>
      </c>
      <c r="D129" s="1255">
        <v>1.19</v>
      </c>
      <c r="E129" s="1255">
        <v>1.08</v>
      </c>
      <c r="F129" s="1255">
        <v>0.92</v>
      </c>
      <c r="G129" s="1255">
        <v>0.84</v>
      </c>
      <c r="H129" s="1255">
        <v>0.77</v>
      </c>
      <c r="I129" s="1255">
        <v>0.7</v>
      </c>
      <c r="J129" s="1255">
        <v>0.6</v>
      </c>
      <c r="K129" s="1255">
        <v>0.51</v>
      </c>
      <c r="L129" s="1255">
        <v>0.39</v>
      </c>
      <c r="M129" s="1255">
        <v>0.28999999999999998</v>
      </c>
      <c r="N129" s="1255">
        <v>0.25</v>
      </c>
      <c r="O129" s="17"/>
      <c r="V129" s="1520"/>
      <c r="W129" s="1219"/>
      <c r="X129" s="1219"/>
      <c r="Y129" s="1219"/>
      <c r="Z129" s="1219"/>
      <c r="AA129" s="1219"/>
    </row>
    <row r="130" spans="1:27">
      <c r="B130" s="911">
        <v>4</v>
      </c>
      <c r="C130" s="1192" t="s">
        <v>88</v>
      </c>
      <c r="D130" s="1255">
        <v>1.05</v>
      </c>
      <c r="E130" s="1255">
        <v>0.93</v>
      </c>
      <c r="F130" s="1255">
        <v>0.81</v>
      </c>
      <c r="G130" s="1255">
        <v>0.74</v>
      </c>
      <c r="H130" s="1255">
        <v>0.68</v>
      </c>
      <c r="I130" s="1255">
        <v>0.57999999999999996</v>
      </c>
      <c r="J130" s="1255">
        <v>0.48</v>
      </c>
      <c r="K130" s="1255">
        <v>0.43</v>
      </c>
      <c r="L130" s="1255">
        <v>0.32</v>
      </c>
      <c r="M130" s="1255">
        <v>0.25</v>
      </c>
      <c r="N130" s="1255">
        <v>0.21</v>
      </c>
      <c r="O130" s="17"/>
      <c r="V130" s="1520"/>
      <c r="W130" s="1219"/>
      <c r="X130" s="1219"/>
      <c r="Y130" s="1219"/>
      <c r="Z130" s="1219"/>
      <c r="AA130" s="1219"/>
    </row>
    <row r="131" spans="1:27">
      <c r="B131" s="911">
        <v>5</v>
      </c>
      <c r="C131" s="1192" t="s">
        <v>89</v>
      </c>
      <c r="D131" s="1255">
        <v>0.95</v>
      </c>
      <c r="E131" s="1255">
        <v>0.87</v>
      </c>
      <c r="F131" s="1255">
        <v>0.76</v>
      </c>
      <c r="G131" s="1255">
        <v>0.69</v>
      </c>
      <c r="H131" s="1255">
        <v>0.59</v>
      </c>
      <c r="I131" s="1255">
        <v>0.49</v>
      </c>
      <c r="J131" s="1255">
        <v>0.43</v>
      </c>
      <c r="K131" s="1255"/>
      <c r="L131" s="1255"/>
      <c r="M131" s="1255"/>
      <c r="N131" s="1255"/>
      <c r="O131" s="17"/>
      <c r="V131" s="1520"/>
      <c r="W131" s="1219"/>
      <c r="X131" s="1219"/>
      <c r="Y131" s="1219"/>
      <c r="Z131" s="1219"/>
      <c r="AA131" s="1219"/>
    </row>
    <row r="132" spans="1:27">
      <c r="B132" s="17"/>
      <c r="C132" s="17"/>
      <c r="E132" s="17"/>
      <c r="F132" s="17"/>
      <c r="G132" s="17"/>
      <c r="H132" s="17"/>
      <c r="I132" s="17"/>
      <c r="J132" s="17"/>
      <c r="K132" s="17"/>
      <c r="L132" s="17"/>
      <c r="M132" s="17"/>
      <c r="N132" s="17"/>
      <c r="O132" s="17"/>
      <c r="V132" s="1520"/>
      <c r="W132" s="1219"/>
      <c r="X132" s="1219"/>
      <c r="Y132" s="1219"/>
      <c r="Z132" s="1219"/>
      <c r="AA132" s="1219"/>
    </row>
    <row r="133" spans="1:27">
      <c r="B133" s="1885" t="s">
        <v>748</v>
      </c>
      <c r="C133" s="17"/>
      <c r="D133" s="299"/>
      <c r="E133" s="17"/>
      <c r="F133" s="17"/>
      <c r="G133" s="17"/>
      <c r="H133" s="17"/>
      <c r="I133" s="17"/>
      <c r="J133" s="17"/>
      <c r="K133" s="17"/>
      <c r="L133" s="17"/>
      <c r="M133" s="17"/>
      <c r="N133" s="17"/>
      <c r="O133" s="17"/>
      <c r="V133" s="1520"/>
      <c r="W133" s="1219"/>
      <c r="X133" s="1219"/>
      <c r="Y133" s="1219"/>
      <c r="Z133" s="1219"/>
      <c r="AA133" s="1219"/>
    </row>
    <row r="134" spans="1:27">
      <c r="C134" s="17"/>
      <c r="D134" s="17"/>
      <c r="E134" s="17"/>
      <c r="F134" s="17"/>
      <c r="G134" s="17"/>
      <c r="H134" s="17"/>
      <c r="I134" s="17"/>
      <c r="J134" s="17"/>
      <c r="K134" s="17"/>
      <c r="L134" s="17"/>
      <c r="M134" s="17"/>
      <c r="N134" s="1184" t="s">
        <v>66</v>
      </c>
      <c r="O134" s="17"/>
      <c r="V134" s="1520"/>
      <c r="W134" s="1219"/>
      <c r="X134" s="1219"/>
      <c r="Y134" s="1219"/>
      <c r="Z134" s="1219"/>
      <c r="AA134" s="1219"/>
    </row>
    <row r="135" spans="1:27">
      <c r="A135" s="55" t="s">
        <v>1483</v>
      </c>
      <c r="B135" s="1185" t="s">
        <v>33</v>
      </c>
      <c r="C135" s="921" t="s">
        <v>81</v>
      </c>
      <c r="D135" s="1186" t="s">
        <v>954</v>
      </c>
      <c r="E135" s="1187"/>
      <c r="F135" s="1194"/>
      <c r="G135" s="1194"/>
      <c r="H135" s="1194"/>
      <c r="I135" s="1194"/>
      <c r="J135" s="1194"/>
      <c r="K135" s="1194"/>
      <c r="L135" s="1194"/>
      <c r="M135" s="1194"/>
      <c r="N135" s="1195"/>
      <c r="O135" s="17"/>
      <c r="P135" s="1210" t="s">
        <v>69</v>
      </c>
      <c r="Q135" s="1211" t="s">
        <v>70</v>
      </c>
      <c r="R135" s="1210" t="s">
        <v>71</v>
      </c>
      <c r="S135" s="1211" t="s">
        <v>72</v>
      </c>
      <c r="T135" s="1212" t="s">
        <v>641</v>
      </c>
      <c r="U135" s="1213" t="s">
        <v>411</v>
      </c>
      <c r="V135" s="1521" t="s">
        <v>69</v>
      </c>
      <c r="W135" s="1211" t="s">
        <v>70</v>
      </c>
      <c r="X135" s="1210" t="s">
        <v>71</v>
      </c>
      <c r="Y135" s="1211" t="s">
        <v>72</v>
      </c>
      <c r="Z135" s="1212" t="s">
        <v>641</v>
      </c>
      <c r="AA135" s="1213" t="s">
        <v>411</v>
      </c>
    </row>
    <row r="136" spans="1:27">
      <c r="B136" s="922"/>
      <c r="C136" s="1196"/>
      <c r="D136" s="1204">
        <v>10</v>
      </c>
      <c r="E136" s="1191">
        <v>20</v>
      </c>
      <c r="F136" s="1191">
        <v>50</v>
      </c>
      <c r="G136" s="1191">
        <v>100</v>
      </c>
      <c r="H136" s="1191">
        <v>200</v>
      </c>
      <c r="I136" s="1191">
        <v>500</v>
      </c>
      <c r="J136" s="1865">
        <v>1000</v>
      </c>
      <c r="K136" s="1865">
        <v>2000</v>
      </c>
      <c r="L136" s="1865">
        <v>5000</v>
      </c>
      <c r="M136" s="1865">
        <v>8000</v>
      </c>
      <c r="N136" s="1865">
        <v>10000</v>
      </c>
      <c r="O136" s="17"/>
      <c r="P136" s="1210">
        <f ca="1">IF(U136&lt;=$D$136,$D$136,INDEX($D$136:$N$136,1,MATCH(U136,$D$136:$N$136,1)))</f>
        <v>10</v>
      </c>
      <c r="Q136" s="1211">
        <f ca="1">IF(OR(U136&lt;=$D$136,U136&gt;=$N$136),P136,INDEX($D$136:$N$136,1,MATCH(U136,$D$136:$N$136,1)+1))</f>
        <v>10</v>
      </c>
      <c r="R136" s="1210">
        <f ca="1">INDEX($D$137:$N$141,CCT,MATCH(P136,$D$136:$N$136,1))</f>
        <v>1.67</v>
      </c>
      <c r="S136" s="1211">
        <f ca="1">INDEX($D$137:$N$141,CCT,MATCH(Q136,$D$136:$N$136,1))</f>
        <v>1.67</v>
      </c>
      <c r="T136" s="1212">
        <f ca="1">IF(R136=S136,S136,S136-(S136-R136)/(Q136-P136)*(Q136-U136))</f>
        <v>1.67</v>
      </c>
      <c r="U136" s="1519">
        <f ca="1">D5</f>
        <v>0.34403316717430643</v>
      </c>
      <c r="V136" s="1521">
        <f>IF(AA136&lt;=$D$136,$D$136,INDEX($D$136:$N$136,1,MATCH(AA136,$D$136:$N$136,1)))</f>
        <v>10</v>
      </c>
      <c r="W136" s="1211">
        <f>IF(OR(AA136&lt;=$D$136,AA136&gt;=$N$136),V136,INDEX($D$136:$N$136,1,MATCH(AA136,$D$136:$N$136,1)+1))</f>
        <v>10</v>
      </c>
      <c r="X136" s="1210">
        <f>INDEX($D$137:$N$141,CCT,MATCH(V136,$D$136:$N$136,1))</f>
        <v>1.67</v>
      </c>
      <c r="Y136" s="1211">
        <f>INDEX($D$137:$N$141,CCT,MATCH(W136,$D$136:$N$136,1))</f>
        <v>1.67</v>
      </c>
      <c r="Z136" s="1212">
        <f>IF(X136=Y136,Y136,Y136-(Y136-X136)/(W136-V136)*(W136-AA136))</f>
        <v>1.67</v>
      </c>
      <c r="AA136" s="1213">
        <f>E5</f>
        <v>0</v>
      </c>
    </row>
    <row r="137" spans="1:27">
      <c r="B137" s="911">
        <v>1</v>
      </c>
      <c r="C137" s="1192" t="s">
        <v>83</v>
      </c>
      <c r="D137" s="1255">
        <v>3.01</v>
      </c>
      <c r="E137" s="1255">
        <v>2.76</v>
      </c>
      <c r="F137" s="1255">
        <v>2.36</v>
      </c>
      <c r="G137" s="1255">
        <v>2.15</v>
      </c>
      <c r="H137" s="1255">
        <v>1.95</v>
      </c>
      <c r="I137" s="1255">
        <v>1.78</v>
      </c>
      <c r="J137" s="1255">
        <v>1.52</v>
      </c>
      <c r="K137" s="1255">
        <v>1.32</v>
      </c>
      <c r="L137" s="1255">
        <v>1.02</v>
      </c>
      <c r="M137" s="1255">
        <v>0.75</v>
      </c>
      <c r="N137" s="1255">
        <v>0.66</v>
      </c>
      <c r="O137" s="17"/>
      <c r="V137" s="1520"/>
      <c r="W137" s="1219"/>
      <c r="X137" s="1219"/>
      <c r="Y137" s="1219"/>
      <c r="Z137" s="1219"/>
      <c r="AA137" s="1219"/>
    </row>
    <row r="138" spans="1:27">
      <c r="B138" s="911">
        <v>2</v>
      </c>
      <c r="C138" s="1192" t="s">
        <v>85</v>
      </c>
      <c r="D138" s="1255">
        <v>2.27</v>
      </c>
      <c r="E138" s="1255">
        <v>2.15</v>
      </c>
      <c r="F138" s="1255">
        <v>1.83</v>
      </c>
      <c r="G138" s="1255">
        <v>1.67</v>
      </c>
      <c r="H138" s="1255">
        <v>1.51</v>
      </c>
      <c r="I138" s="1255">
        <v>1.38</v>
      </c>
      <c r="J138" s="1255">
        <v>1.21</v>
      </c>
      <c r="K138" s="1255">
        <v>1.03</v>
      </c>
      <c r="L138" s="1255">
        <v>0.79</v>
      </c>
      <c r="M138" s="1255">
        <v>0.61</v>
      </c>
      <c r="N138" s="1255">
        <v>0.49</v>
      </c>
      <c r="O138" s="17"/>
      <c r="V138" s="1520"/>
      <c r="W138" s="1219"/>
      <c r="X138" s="1219"/>
      <c r="Y138" s="1219"/>
      <c r="Z138" s="1219"/>
      <c r="AA138" s="1219"/>
    </row>
    <row r="139" spans="1:27">
      <c r="B139" s="911">
        <v>3</v>
      </c>
      <c r="C139" s="1192" t="s">
        <v>86</v>
      </c>
      <c r="D139" s="1255">
        <v>1.67</v>
      </c>
      <c r="E139" s="1255">
        <v>1.55</v>
      </c>
      <c r="F139" s="1255">
        <v>1.32</v>
      </c>
      <c r="G139" s="1255">
        <v>1.2</v>
      </c>
      <c r="H139" s="1255">
        <v>1.1000000000000001</v>
      </c>
      <c r="I139" s="1255">
        <v>1.01</v>
      </c>
      <c r="J139" s="1255">
        <v>0.85</v>
      </c>
      <c r="K139" s="1255">
        <v>0.72</v>
      </c>
      <c r="L139" s="1255">
        <v>0.56000000000000005</v>
      </c>
      <c r="M139" s="1255">
        <v>0.42</v>
      </c>
      <c r="N139" s="1255">
        <v>0.36</v>
      </c>
      <c r="O139" s="17"/>
      <c r="V139" s="1520"/>
      <c r="W139" s="1219"/>
      <c r="X139" s="1219"/>
      <c r="Y139" s="1219"/>
      <c r="Z139" s="1219"/>
      <c r="AA139" s="1219"/>
    </row>
    <row r="140" spans="1:27">
      <c r="B140" s="911">
        <v>4</v>
      </c>
      <c r="C140" s="1192" t="s">
        <v>88</v>
      </c>
      <c r="D140" s="1255">
        <v>1.48</v>
      </c>
      <c r="E140" s="1255">
        <v>1.37</v>
      </c>
      <c r="F140" s="1255">
        <v>1.17</v>
      </c>
      <c r="G140" s="1255">
        <v>1.06</v>
      </c>
      <c r="H140" s="1255">
        <v>0.97</v>
      </c>
      <c r="I140" s="1255">
        <v>0.82</v>
      </c>
      <c r="J140" s="1255">
        <v>0.7</v>
      </c>
      <c r="K140" s="1255">
        <v>0.59</v>
      </c>
      <c r="L140" s="1255">
        <v>0.45</v>
      </c>
      <c r="M140" s="1255">
        <v>0.33</v>
      </c>
      <c r="N140" s="1255">
        <v>0.28999999999999998</v>
      </c>
      <c r="O140" s="17"/>
      <c r="V140" s="1520"/>
      <c r="W140" s="1219"/>
      <c r="X140" s="1219"/>
      <c r="Y140" s="1219"/>
      <c r="Z140" s="1219"/>
      <c r="AA140" s="1219"/>
    </row>
    <row r="141" spans="1:27">
      <c r="B141" s="911">
        <v>5</v>
      </c>
      <c r="C141" s="1192" t="s">
        <v>89</v>
      </c>
      <c r="D141" s="1255">
        <v>1.37</v>
      </c>
      <c r="E141" s="1255">
        <v>1.26</v>
      </c>
      <c r="F141" s="1255">
        <v>1.08</v>
      </c>
      <c r="G141" s="1255">
        <v>0.98</v>
      </c>
      <c r="H141" s="1255">
        <v>0.83</v>
      </c>
      <c r="I141" s="1255">
        <v>0.71</v>
      </c>
      <c r="J141" s="1255">
        <v>0</v>
      </c>
      <c r="K141" s="1255">
        <v>0</v>
      </c>
      <c r="L141" s="1255">
        <v>0</v>
      </c>
      <c r="M141" s="1255">
        <v>0</v>
      </c>
      <c r="N141" s="1255">
        <v>0</v>
      </c>
      <c r="O141" s="17"/>
      <c r="V141" s="1520"/>
      <c r="W141" s="1219"/>
      <c r="X141" s="1219"/>
      <c r="Y141" s="1219"/>
      <c r="Z141" s="1219"/>
      <c r="AA141" s="1219"/>
    </row>
    <row r="142" spans="1:27">
      <c r="B142" s="17"/>
      <c r="C142" s="17"/>
      <c r="D142" s="17"/>
      <c r="E142" s="17"/>
      <c r="F142" s="17"/>
      <c r="G142" s="17"/>
      <c r="H142" s="17"/>
      <c r="I142" s="17"/>
      <c r="J142" s="17"/>
      <c r="K142" s="17"/>
      <c r="L142" s="17"/>
      <c r="M142" s="17"/>
      <c r="N142" s="17"/>
      <c r="O142" s="17"/>
      <c r="V142" s="1520"/>
      <c r="W142" s="1219"/>
      <c r="X142" s="1219"/>
      <c r="Y142" s="1219"/>
      <c r="Z142" s="1219"/>
      <c r="AA142" s="1219"/>
    </row>
    <row r="143" spans="1:27">
      <c r="B143" s="1216" t="s">
        <v>749</v>
      </c>
      <c r="C143" s="17"/>
      <c r="D143" s="17"/>
      <c r="E143" s="17"/>
      <c r="F143" s="17"/>
      <c r="G143" s="17"/>
      <c r="H143" s="17"/>
      <c r="I143" s="17"/>
      <c r="J143" s="17"/>
      <c r="K143" s="17"/>
      <c r="L143" s="17"/>
      <c r="M143" s="17"/>
      <c r="N143" s="17"/>
      <c r="O143" s="17"/>
      <c r="V143" s="1520"/>
      <c r="W143" s="1219"/>
      <c r="X143" s="1219"/>
      <c r="Y143" s="1219"/>
      <c r="Z143" s="1219"/>
      <c r="AA143" s="1219"/>
    </row>
    <row r="144" spans="1:27">
      <c r="B144" s="1885" t="s">
        <v>750</v>
      </c>
      <c r="C144" s="17"/>
      <c r="D144" s="17"/>
      <c r="E144" s="17"/>
      <c r="F144" s="17"/>
      <c r="G144" s="17"/>
      <c r="H144" s="17"/>
      <c r="I144" s="17"/>
      <c r="J144" s="17"/>
      <c r="K144" s="17"/>
      <c r="L144" s="17"/>
      <c r="M144" s="17"/>
      <c r="N144" s="17"/>
      <c r="O144" s="17"/>
      <c r="V144" s="1520"/>
      <c r="W144" s="1219"/>
      <c r="X144" s="1219"/>
      <c r="Y144" s="1219"/>
      <c r="Z144" s="1219"/>
      <c r="AA144" s="1219"/>
    </row>
    <row r="145" spans="1:27">
      <c r="C145" s="17"/>
      <c r="D145" s="17"/>
      <c r="E145" s="17"/>
      <c r="F145" s="17"/>
      <c r="G145" s="17"/>
      <c r="H145" s="17"/>
      <c r="I145" s="17"/>
      <c r="J145" s="17"/>
      <c r="K145" s="17"/>
      <c r="L145" s="17"/>
      <c r="M145" s="17"/>
      <c r="N145" s="1184" t="s">
        <v>66</v>
      </c>
      <c r="O145" s="17"/>
      <c r="V145" s="1520"/>
      <c r="W145" s="1219"/>
      <c r="X145" s="1219"/>
      <c r="Y145" s="1219"/>
      <c r="Z145" s="1219"/>
      <c r="AA145" s="1219"/>
    </row>
    <row r="146" spans="1:27">
      <c r="A146" s="55" t="s">
        <v>1483</v>
      </c>
      <c r="B146" s="1185" t="s">
        <v>33</v>
      </c>
      <c r="C146" s="921" t="s">
        <v>81</v>
      </c>
      <c r="D146" s="1186" t="s">
        <v>954</v>
      </c>
      <c r="E146" s="1194"/>
      <c r="F146" s="1194"/>
      <c r="G146" s="1194"/>
      <c r="H146" s="1194"/>
      <c r="I146" s="1194"/>
      <c r="J146" s="1194"/>
      <c r="K146" s="1194"/>
      <c r="L146" s="1194"/>
      <c r="M146" s="1194"/>
      <c r="N146" s="1195"/>
      <c r="O146" s="17"/>
      <c r="P146" s="1210" t="s">
        <v>69</v>
      </c>
      <c r="Q146" s="1211" t="s">
        <v>70</v>
      </c>
      <c r="R146" s="1210" t="s">
        <v>71</v>
      </c>
      <c r="S146" s="1211" t="s">
        <v>72</v>
      </c>
      <c r="T146" s="1212" t="s">
        <v>641</v>
      </c>
      <c r="U146" s="1213" t="s">
        <v>411</v>
      </c>
      <c r="V146" s="1521" t="s">
        <v>69</v>
      </c>
      <c r="W146" s="1211" t="s">
        <v>70</v>
      </c>
      <c r="X146" s="1210" t="s">
        <v>71</v>
      </c>
      <c r="Y146" s="1211" t="s">
        <v>72</v>
      </c>
      <c r="Z146" s="1212" t="s">
        <v>641</v>
      </c>
      <c r="AA146" s="1213" t="s">
        <v>411</v>
      </c>
    </row>
    <row r="147" spans="1:27">
      <c r="B147" s="922"/>
      <c r="C147" s="1196"/>
      <c r="D147" s="1204">
        <v>10</v>
      </c>
      <c r="E147" s="1191">
        <v>20</v>
      </c>
      <c r="F147" s="1191">
        <v>50</v>
      </c>
      <c r="G147" s="1191">
        <v>100</v>
      </c>
      <c r="H147" s="1191">
        <v>200</v>
      </c>
      <c r="I147" s="1191">
        <v>500</v>
      </c>
      <c r="J147" s="1865">
        <v>1000</v>
      </c>
      <c r="K147" s="1865">
        <v>2000</v>
      </c>
      <c r="L147" s="1865">
        <v>5000</v>
      </c>
      <c r="M147" s="1865">
        <v>8000</v>
      </c>
      <c r="N147" s="1865">
        <v>10000</v>
      </c>
      <c r="O147" s="17"/>
      <c r="P147" s="1210">
        <f ca="1">IF(U147&lt;=$D$147,$D$147,INDEX($D$147:$N$147,1,MATCH(U147,$D$147:$N$147,1)))</f>
        <v>10</v>
      </c>
      <c r="Q147" s="1211">
        <f ca="1">IF(OR(U147&lt;=$D$147,U147&gt;=$N$147),P147,INDEX($D$147:$N$147,1,MATCH(U147,$D$147:$N$147,1)+1))</f>
        <v>10</v>
      </c>
      <c r="R147" s="1210">
        <f ca="1">INDEX($D$148:$N$152,CCT,MATCH(P147,$D$147:$N$147,1))</f>
        <v>2.48</v>
      </c>
      <c r="S147" s="1211">
        <f ca="1">INDEX($D$148:$N$152,CCT,MATCH(Q147,$D$147:$N$147,1))</f>
        <v>2.48</v>
      </c>
      <c r="T147" s="1212">
        <f ca="1">IF(R147=S147,S147,S147-(S147-R147)/(Q147-P147)*(Q147-U147))</f>
        <v>2.48</v>
      </c>
      <c r="U147" s="1519">
        <f ca="1">D5</f>
        <v>0.34403316717430643</v>
      </c>
      <c r="V147" s="1521">
        <f>IF(AA147&lt;=$D$147,$D$147,INDEX($D$147:$N$147,1,MATCH(AA147,$D$147:$N$147,1)))</f>
        <v>10</v>
      </c>
      <c r="W147" s="1211">
        <f>IF(OR(AA147&lt;=$D$147,AA147&gt;=$N$147),V147,INDEX($D$147:$N$147,1,MATCH(AA147,$D$147:$N$147,1)+1))</f>
        <v>10</v>
      </c>
      <c r="X147" s="1210">
        <f>INDEX($D$148:$N$152,CCT,MATCH(V147,$D$147:$N$147,1))</f>
        <v>2.48</v>
      </c>
      <c r="Y147" s="1211">
        <f>INDEX($D$148:$N$152,CCT,MATCH(W147,$D$147:$N$147,1))</f>
        <v>2.48</v>
      </c>
      <c r="Z147" s="1212">
        <f>IF(X147=Y147,Y147,Y147-(Y147-X147)/(W147-V147)*(W147-AA147))</f>
        <v>2.48</v>
      </c>
      <c r="AA147" s="1213">
        <f>E5</f>
        <v>0</v>
      </c>
    </row>
    <row r="148" spans="1:27">
      <c r="B148" s="911">
        <v>1</v>
      </c>
      <c r="C148" s="1192" t="s">
        <v>83</v>
      </c>
      <c r="D148" s="1255">
        <v>2.98</v>
      </c>
      <c r="E148" s="1255">
        <v>2.6</v>
      </c>
      <c r="F148" s="1255">
        <v>2.2000000000000002</v>
      </c>
      <c r="G148" s="1255">
        <v>1.98</v>
      </c>
      <c r="H148" s="1255">
        <v>1.83</v>
      </c>
      <c r="I148" s="1255">
        <v>1.54</v>
      </c>
      <c r="J148" s="1255">
        <v>1.3</v>
      </c>
      <c r="K148" s="1255">
        <v>1.1299999999999999</v>
      </c>
      <c r="L148" s="1255">
        <v>0.85</v>
      </c>
      <c r="M148" s="1255">
        <v>0.66</v>
      </c>
      <c r="N148" s="1255">
        <v>0.57999999999999996</v>
      </c>
      <c r="O148" s="17"/>
      <c r="V148" s="1520"/>
      <c r="W148" s="1219"/>
      <c r="X148" s="1219"/>
      <c r="Y148" s="1219"/>
      <c r="Z148" s="1219"/>
      <c r="AA148" s="1219"/>
    </row>
    <row r="149" spans="1:27">
      <c r="B149" s="911">
        <v>2</v>
      </c>
      <c r="C149" s="1192" t="s">
        <v>85</v>
      </c>
      <c r="D149" s="1255">
        <v>2.7</v>
      </c>
      <c r="E149" s="1255">
        <v>2.36</v>
      </c>
      <c r="F149" s="1255">
        <v>1.99</v>
      </c>
      <c r="G149" s="1255">
        <v>1.78</v>
      </c>
      <c r="H149" s="1255">
        <v>1.66</v>
      </c>
      <c r="I149" s="1255">
        <v>1.39</v>
      </c>
      <c r="J149" s="1255">
        <v>1.17</v>
      </c>
      <c r="K149" s="1255">
        <v>1.02</v>
      </c>
      <c r="L149" s="1255">
        <v>0.77</v>
      </c>
      <c r="M149" s="1255">
        <v>0.59</v>
      </c>
      <c r="N149" s="1255">
        <v>0.52</v>
      </c>
      <c r="O149" s="17"/>
      <c r="V149" s="1520"/>
      <c r="W149" s="1219"/>
      <c r="X149" s="1219"/>
      <c r="Y149" s="1219"/>
      <c r="Z149" s="1219"/>
      <c r="AA149" s="1219"/>
    </row>
    <row r="150" spans="1:27">
      <c r="B150" s="911">
        <v>3</v>
      </c>
      <c r="C150" s="1192" t="s">
        <v>86</v>
      </c>
      <c r="D150" s="1255">
        <v>2.48</v>
      </c>
      <c r="E150" s="1255">
        <v>2.14</v>
      </c>
      <c r="F150" s="1255">
        <v>1.8</v>
      </c>
      <c r="G150" s="1255">
        <v>1.61</v>
      </c>
      <c r="H150" s="1255">
        <v>1.51</v>
      </c>
      <c r="I150" s="1255">
        <v>1.22</v>
      </c>
      <c r="J150" s="1255">
        <v>1.05</v>
      </c>
      <c r="K150" s="1255">
        <v>0.87</v>
      </c>
      <c r="L150" s="1255">
        <v>0.67</v>
      </c>
      <c r="M150" s="1255">
        <v>0.49</v>
      </c>
      <c r="N150" s="1255">
        <v>0.42</v>
      </c>
      <c r="O150" s="17"/>
      <c r="V150" s="1520"/>
      <c r="W150" s="1219"/>
      <c r="X150" s="1219"/>
      <c r="Y150" s="1219"/>
      <c r="Z150" s="1219"/>
      <c r="AA150" s="1219"/>
    </row>
    <row r="151" spans="1:27">
      <c r="B151" s="911">
        <v>4</v>
      </c>
      <c r="C151" s="1192" t="s">
        <v>88</v>
      </c>
      <c r="D151" s="1255">
        <v>2.2000000000000002</v>
      </c>
      <c r="E151" s="1255">
        <v>1.9</v>
      </c>
      <c r="F151" s="1255">
        <v>1.6</v>
      </c>
      <c r="G151" s="1255">
        <v>1.43</v>
      </c>
      <c r="H151" s="1255">
        <v>1.24</v>
      </c>
      <c r="I151" s="1255">
        <v>1.06</v>
      </c>
      <c r="J151" s="1255">
        <v>0.9</v>
      </c>
      <c r="K151" s="1255">
        <v>0.77</v>
      </c>
      <c r="L151" s="1255">
        <v>0.59</v>
      </c>
      <c r="M151" s="1255">
        <v>0.43</v>
      </c>
      <c r="N151" s="1255">
        <v>0.37</v>
      </c>
      <c r="O151" s="17"/>
      <c r="V151" s="1520"/>
      <c r="W151" s="1219"/>
      <c r="X151" s="1219"/>
      <c r="Y151" s="1219"/>
      <c r="Z151" s="1219"/>
      <c r="AA151" s="1219"/>
    </row>
    <row r="152" spans="1:27">
      <c r="B152" s="911">
        <v>5</v>
      </c>
      <c r="C152" s="1192" t="s">
        <v>89</v>
      </c>
      <c r="D152" s="1255">
        <v>1.74</v>
      </c>
      <c r="E152" s="1255">
        <v>1.52</v>
      </c>
      <c r="F152" s="1255">
        <v>1.27</v>
      </c>
      <c r="G152" s="1255">
        <v>1.1200000000000001</v>
      </c>
      <c r="H152" s="1255">
        <v>1.01</v>
      </c>
      <c r="I152" s="1255">
        <v>0.8</v>
      </c>
      <c r="J152" s="1255">
        <v>0.64</v>
      </c>
      <c r="K152" s="1255"/>
      <c r="L152" s="1255"/>
      <c r="M152" s="1255"/>
      <c r="N152" s="1255"/>
      <c r="O152" s="17"/>
      <c r="V152" s="1520"/>
      <c r="W152" s="1219"/>
      <c r="X152" s="1219"/>
      <c r="Y152" s="1219"/>
      <c r="Z152" s="1219"/>
      <c r="AA152" s="1219"/>
    </row>
    <row r="153" spans="1:27">
      <c r="B153" s="17"/>
      <c r="C153" s="17"/>
      <c r="E153" s="17"/>
      <c r="F153" s="17"/>
      <c r="G153" s="17"/>
      <c r="H153" s="17"/>
      <c r="I153" s="17"/>
      <c r="J153" s="17"/>
      <c r="K153" s="17"/>
      <c r="L153" s="17"/>
      <c r="M153" s="17"/>
      <c r="N153" s="17"/>
      <c r="O153" s="17"/>
      <c r="V153" s="1520"/>
      <c r="W153" s="1219"/>
      <c r="X153" s="1219"/>
      <c r="Y153" s="1219"/>
      <c r="Z153" s="1219"/>
      <c r="AA153" s="1219"/>
    </row>
    <row r="154" spans="1:27">
      <c r="B154" s="1885" t="s">
        <v>751</v>
      </c>
      <c r="C154" s="17"/>
      <c r="D154" s="299"/>
      <c r="E154" s="17"/>
      <c r="F154" s="17"/>
      <c r="G154" s="17"/>
      <c r="H154" s="17"/>
      <c r="I154" s="17"/>
      <c r="J154" s="17"/>
      <c r="K154" s="17"/>
      <c r="L154" s="17"/>
      <c r="M154" s="17"/>
      <c r="N154" s="17"/>
      <c r="O154" s="17"/>
      <c r="V154" s="1520"/>
      <c r="W154" s="1219"/>
      <c r="X154" s="1219"/>
      <c r="Y154" s="1219"/>
      <c r="Z154" s="1219"/>
      <c r="AA154" s="1219"/>
    </row>
    <row r="155" spans="1:27">
      <c r="C155" s="17"/>
      <c r="D155" s="17"/>
      <c r="E155" s="17"/>
      <c r="F155" s="17"/>
      <c r="G155" s="17"/>
      <c r="H155" s="17"/>
      <c r="I155" s="17"/>
      <c r="J155" s="17"/>
      <c r="K155" s="17"/>
      <c r="L155" s="17"/>
      <c r="M155" s="17"/>
      <c r="N155" s="1184" t="s">
        <v>66</v>
      </c>
      <c r="O155" s="17"/>
      <c r="V155" s="1520"/>
      <c r="W155" s="1219"/>
      <c r="X155" s="1219"/>
      <c r="Y155" s="1219"/>
      <c r="Z155" s="1219"/>
      <c r="AA155" s="1219"/>
    </row>
    <row r="156" spans="1:27">
      <c r="A156" s="55" t="s">
        <v>1483</v>
      </c>
      <c r="B156" s="1185" t="s">
        <v>33</v>
      </c>
      <c r="C156" s="921" t="s">
        <v>81</v>
      </c>
      <c r="D156" s="1186" t="s">
        <v>954</v>
      </c>
      <c r="E156" s="1187"/>
      <c r="F156" s="1194"/>
      <c r="G156" s="1194"/>
      <c r="H156" s="1194"/>
      <c r="I156" s="1194"/>
      <c r="J156" s="1194"/>
      <c r="K156" s="1194"/>
      <c r="L156" s="1194"/>
      <c r="M156" s="1194"/>
      <c r="N156" s="1195"/>
      <c r="O156" s="17"/>
      <c r="P156" s="1210" t="s">
        <v>69</v>
      </c>
      <c r="Q156" s="1211" t="s">
        <v>70</v>
      </c>
      <c r="R156" s="1210" t="s">
        <v>71</v>
      </c>
      <c r="S156" s="1211" t="s">
        <v>72</v>
      </c>
      <c r="T156" s="1212" t="s">
        <v>641</v>
      </c>
      <c r="U156" s="1213" t="s">
        <v>411</v>
      </c>
      <c r="V156" s="1521" t="s">
        <v>69</v>
      </c>
      <c r="W156" s="1211" t="s">
        <v>70</v>
      </c>
      <c r="X156" s="1210" t="s">
        <v>71</v>
      </c>
      <c r="Y156" s="1211" t="s">
        <v>72</v>
      </c>
      <c r="Z156" s="1212" t="s">
        <v>641</v>
      </c>
      <c r="AA156" s="1213" t="s">
        <v>411</v>
      </c>
    </row>
    <row r="157" spans="1:27">
      <c r="B157" s="922"/>
      <c r="C157" s="1196"/>
      <c r="D157" s="1204">
        <v>10</v>
      </c>
      <c r="E157" s="1191">
        <v>20</v>
      </c>
      <c r="F157" s="1191">
        <v>50</v>
      </c>
      <c r="G157" s="1191">
        <v>100</v>
      </c>
      <c r="H157" s="1191">
        <v>200</v>
      </c>
      <c r="I157" s="1191">
        <v>500</v>
      </c>
      <c r="J157" s="1865">
        <v>1000</v>
      </c>
      <c r="K157" s="1865">
        <v>2000</v>
      </c>
      <c r="L157" s="1865">
        <v>5000</v>
      </c>
      <c r="M157" s="1865">
        <v>8000</v>
      </c>
      <c r="N157" s="1865">
        <v>10000</v>
      </c>
      <c r="O157" s="17"/>
      <c r="P157" s="1210">
        <f ca="1">IF(U157&lt;=$D$157,$D$157,INDEX($D$157:$N$157,1,MATCH(U157,$D$157:$N$157,1)))</f>
        <v>10</v>
      </c>
      <c r="Q157" s="1211">
        <f ca="1">IF(OR(U157&lt;=$D$157,U157&gt;=$N$157),P157,INDEX($D$157:$N$157,1,MATCH(U157,$D$157:$N$157,1)+1))</f>
        <v>10</v>
      </c>
      <c r="R157" s="1210">
        <f ca="1">INDEX($D$158:$N$162,CCT,MATCH(P157,$D$157:$N$157,1))</f>
        <v>3.53</v>
      </c>
      <c r="S157" s="1211">
        <f ca="1">INDEX($D$158:$N$162,CCT,MATCH(Q157,$D$157:$N$157,1))</f>
        <v>3.53</v>
      </c>
      <c r="T157" s="1212">
        <f ca="1">IF(R157=S157,S157,S157-(S157-R157)/(Q157-P157)*(Q157-U157))</f>
        <v>3.53</v>
      </c>
      <c r="U157" s="1519">
        <f ca="1">D5</f>
        <v>0.34403316717430643</v>
      </c>
      <c r="V157" s="1521">
        <f>IF(AA157&lt;=$D$157,$D$157,INDEX($D$157:$N$157,1,MATCH(AA157,$D$157:$N$157,1)))</f>
        <v>10</v>
      </c>
      <c r="W157" s="1211">
        <f>IF(OR(AA157&lt;=$D$157,AA157&gt;=$N$157),V157,INDEX($D$157:$N$157,1,MATCH(AA157,$D$157:$N$157,1)+1))</f>
        <v>10</v>
      </c>
      <c r="X157" s="1210">
        <f>INDEX($D$158:$N$162,CCT,MATCH(V157,$D$157:$N$157,1))</f>
        <v>3.53</v>
      </c>
      <c r="Y157" s="1211">
        <f>INDEX($D$158:$N$162,CCT,MATCH(W157,$D$157:$N$157,1))</f>
        <v>3.53</v>
      </c>
      <c r="Z157" s="1212">
        <f>IF(X157=Y157,Y157,Y157-(Y157-X157)/(W157-V157)*(W157-AA157))</f>
        <v>3.53</v>
      </c>
      <c r="AA157" s="1213">
        <f>E5</f>
        <v>0</v>
      </c>
    </row>
    <row r="158" spans="1:27">
      <c r="B158" s="911">
        <v>1</v>
      </c>
      <c r="C158" s="912" t="s">
        <v>83</v>
      </c>
      <c r="D158" s="1255">
        <v>4.29</v>
      </c>
      <c r="E158" s="1255">
        <v>3.75</v>
      </c>
      <c r="F158" s="1255">
        <v>3.17</v>
      </c>
      <c r="G158" s="1255">
        <v>2.85</v>
      </c>
      <c r="H158" s="1255">
        <v>2.6</v>
      </c>
      <c r="I158" s="1255">
        <v>2.21</v>
      </c>
      <c r="J158" s="1255">
        <v>1.87</v>
      </c>
      <c r="K158" s="1255">
        <v>1.58</v>
      </c>
      <c r="L158" s="1255">
        <v>1.22</v>
      </c>
      <c r="M158" s="1255">
        <v>0.95</v>
      </c>
      <c r="N158" s="1255">
        <v>0.83</v>
      </c>
      <c r="O158" s="17"/>
      <c r="V158" s="1520"/>
      <c r="W158" s="1219"/>
      <c r="X158" s="1219"/>
      <c r="Y158" s="1219"/>
      <c r="Z158" s="1219"/>
      <c r="AA158" s="1219"/>
    </row>
    <row r="159" spans="1:27">
      <c r="B159" s="911">
        <v>2</v>
      </c>
      <c r="C159" s="912" t="s">
        <v>85</v>
      </c>
      <c r="D159" s="1255">
        <v>3.89</v>
      </c>
      <c r="E159" s="1255">
        <v>3.4</v>
      </c>
      <c r="F159" s="1255">
        <v>2.87</v>
      </c>
      <c r="G159" s="1255">
        <v>2.57</v>
      </c>
      <c r="H159" s="1255">
        <v>2.36</v>
      </c>
      <c r="I159" s="1255">
        <v>2</v>
      </c>
      <c r="J159" s="1255">
        <v>1.69</v>
      </c>
      <c r="K159" s="1255">
        <v>1.43</v>
      </c>
      <c r="L159" s="1255">
        <v>1.1000000000000001</v>
      </c>
      <c r="M159" s="1255">
        <v>0.85</v>
      </c>
      <c r="N159" s="1255">
        <v>0.74</v>
      </c>
      <c r="O159" s="17"/>
      <c r="V159" s="1520"/>
      <c r="W159" s="1219"/>
      <c r="X159" s="1219"/>
      <c r="Y159" s="1219"/>
      <c r="Z159" s="1219"/>
      <c r="AA159" s="1219"/>
    </row>
    <row r="160" spans="1:27">
      <c r="B160" s="911">
        <v>3</v>
      </c>
      <c r="C160" s="912" t="s">
        <v>86</v>
      </c>
      <c r="D160" s="1255">
        <v>3.53</v>
      </c>
      <c r="E160" s="1255">
        <v>3.11</v>
      </c>
      <c r="F160" s="1255">
        <v>2.62</v>
      </c>
      <c r="G160" s="1255">
        <v>2.34</v>
      </c>
      <c r="H160" s="1255">
        <v>2.15</v>
      </c>
      <c r="I160" s="1255">
        <v>1.73</v>
      </c>
      <c r="J160" s="1255">
        <v>1.48</v>
      </c>
      <c r="K160" s="1255">
        <v>1.25</v>
      </c>
      <c r="L160" s="1255">
        <v>0.96</v>
      </c>
      <c r="M160" s="1255">
        <v>0.69</v>
      </c>
      <c r="N160" s="1255">
        <v>0.57999999999999996</v>
      </c>
      <c r="O160" s="17"/>
      <c r="V160" s="1520"/>
      <c r="W160" s="1219"/>
      <c r="X160" s="1219"/>
      <c r="Y160" s="1219"/>
      <c r="Z160" s="1219"/>
      <c r="AA160" s="1219"/>
    </row>
    <row r="161" spans="1:27">
      <c r="B161" s="911">
        <v>4</v>
      </c>
      <c r="C161" s="912" t="s">
        <v>88</v>
      </c>
      <c r="D161" s="1255">
        <v>3.13</v>
      </c>
      <c r="E161" s="1255">
        <v>2.76</v>
      </c>
      <c r="F161" s="1255">
        <v>2.31</v>
      </c>
      <c r="G161" s="1255">
        <v>2.0699999999999998</v>
      </c>
      <c r="H161" s="1255">
        <v>1.79</v>
      </c>
      <c r="I161" s="1255">
        <v>1.52</v>
      </c>
      <c r="J161" s="1255">
        <v>1.29</v>
      </c>
      <c r="K161" s="1255">
        <v>1.1000000000000001</v>
      </c>
      <c r="L161" s="1255">
        <v>0.83</v>
      </c>
      <c r="M161" s="1255">
        <v>0.6</v>
      </c>
      <c r="N161" s="1255">
        <v>0.51</v>
      </c>
      <c r="O161" s="17"/>
      <c r="V161" s="1520"/>
      <c r="W161" s="1219"/>
      <c r="X161" s="1219"/>
      <c r="Y161" s="1219"/>
      <c r="Z161" s="1219"/>
      <c r="AA161" s="1219"/>
    </row>
    <row r="162" spans="1:27">
      <c r="B162" s="911">
        <v>5</v>
      </c>
      <c r="C162" s="912" t="s">
        <v>89</v>
      </c>
      <c r="D162" s="1255">
        <v>2.48</v>
      </c>
      <c r="E162" s="1255">
        <v>2.19</v>
      </c>
      <c r="F162" s="1255">
        <v>1.82</v>
      </c>
      <c r="G162" s="1255">
        <v>1.61</v>
      </c>
      <c r="H162" s="1255">
        <v>1.41</v>
      </c>
      <c r="I162" s="1255">
        <v>1.1399999999999999</v>
      </c>
      <c r="J162" s="1255"/>
      <c r="K162" s="1255"/>
      <c r="L162" s="1255"/>
      <c r="M162" s="1255"/>
      <c r="N162" s="1255"/>
      <c r="O162" s="17"/>
      <c r="V162" s="1520"/>
      <c r="W162" s="1219"/>
      <c r="X162" s="1219"/>
      <c r="Y162" s="1219"/>
      <c r="Z162" s="1219"/>
      <c r="AA162" s="1219"/>
    </row>
    <row r="163" spans="1:27">
      <c r="B163" s="17"/>
      <c r="C163" s="17"/>
      <c r="D163" s="17"/>
      <c r="E163" s="17"/>
      <c r="F163" s="17"/>
      <c r="G163" s="17"/>
      <c r="H163" s="17"/>
      <c r="I163" s="17"/>
      <c r="J163" s="17"/>
      <c r="K163" s="17"/>
      <c r="L163" s="17"/>
      <c r="M163" s="17"/>
      <c r="N163" s="17"/>
      <c r="O163" s="17"/>
      <c r="V163" s="1520"/>
      <c r="W163" s="1219"/>
      <c r="X163" s="1219"/>
      <c r="Y163" s="1219"/>
      <c r="Z163" s="1219"/>
      <c r="AA163" s="1219"/>
    </row>
    <row r="164" spans="1:27" s="1545" customFormat="1">
      <c r="B164" s="1885" t="s">
        <v>1389</v>
      </c>
      <c r="C164" s="1546"/>
      <c r="D164" s="1546"/>
      <c r="E164" s="1546"/>
      <c r="F164" s="1546"/>
      <c r="G164" s="1546"/>
      <c r="H164" s="1546"/>
      <c r="I164" s="1546"/>
      <c r="J164" s="1546"/>
      <c r="K164" s="1546"/>
      <c r="L164" s="1546"/>
      <c r="M164" s="1546"/>
      <c r="N164" s="1546"/>
      <c r="O164" s="1546"/>
      <c r="P164" s="1548"/>
      <c r="Q164" s="1548"/>
      <c r="R164" s="1548"/>
      <c r="S164" s="1548"/>
      <c r="T164" s="1548"/>
      <c r="U164" s="1548"/>
      <c r="V164" s="1549"/>
      <c r="W164" s="1548"/>
      <c r="X164" s="1548"/>
      <c r="Y164" s="1548"/>
      <c r="Z164" s="1548"/>
      <c r="AA164" s="1548"/>
    </row>
    <row r="165" spans="1:27">
      <c r="B165" s="17"/>
      <c r="C165" s="17"/>
      <c r="D165" s="17"/>
      <c r="E165" s="17"/>
      <c r="F165" s="17"/>
      <c r="G165" s="17"/>
      <c r="H165" s="17"/>
      <c r="I165" s="17"/>
      <c r="J165" s="17"/>
      <c r="K165" s="17"/>
      <c r="L165" s="17"/>
      <c r="M165" s="17"/>
      <c r="N165" s="17"/>
      <c r="O165" s="17"/>
      <c r="V165" s="1520"/>
      <c r="W165" s="1219"/>
      <c r="X165" s="1219"/>
      <c r="Y165" s="1219"/>
      <c r="Z165" s="1219"/>
      <c r="AA165" s="1219"/>
    </row>
    <row r="166" spans="1:27">
      <c r="A166" s="55" t="s">
        <v>1483</v>
      </c>
      <c r="B166" s="1197" t="s">
        <v>33</v>
      </c>
      <c r="C166" s="921" t="s">
        <v>81</v>
      </c>
      <c r="D166" s="910" t="s">
        <v>1390</v>
      </c>
      <c r="E166" s="910"/>
      <c r="F166" s="910"/>
      <c r="G166" s="910"/>
      <c r="H166" s="910"/>
      <c r="I166" s="910"/>
      <c r="J166" s="910"/>
      <c r="K166" s="17"/>
      <c r="L166" s="17"/>
      <c r="M166" s="17"/>
      <c r="N166" s="17"/>
      <c r="O166" s="17"/>
      <c r="V166" s="1520"/>
      <c r="W166" s="1219"/>
      <c r="X166" s="1219"/>
      <c r="Y166" s="1219"/>
      <c r="Z166" s="1219"/>
      <c r="AA166" s="1219"/>
    </row>
    <row r="167" spans="1:27">
      <c r="B167" s="1189"/>
      <c r="C167" s="1189"/>
      <c r="D167" s="1899">
        <v>2</v>
      </c>
      <c r="E167" s="911">
        <v>5</v>
      </c>
      <c r="F167" s="911">
        <v>20</v>
      </c>
      <c r="G167" s="911">
        <v>50</v>
      </c>
      <c r="H167" s="911">
        <v>100</v>
      </c>
      <c r="I167" s="911">
        <v>200</v>
      </c>
      <c r="J167" s="911">
        <v>500</v>
      </c>
      <c r="V167" s="1520"/>
      <c r="W167" s="1219"/>
      <c r="X167" s="1219"/>
      <c r="Y167" s="1219"/>
      <c r="Z167" s="1219"/>
      <c r="AA167" s="1219"/>
    </row>
    <row r="168" spans="1:27">
      <c r="B168" s="911">
        <v>1</v>
      </c>
      <c r="C168" s="912" t="s">
        <v>83</v>
      </c>
      <c r="D168" s="1190">
        <v>2.89</v>
      </c>
      <c r="E168" s="1190">
        <v>2.5299999999999998</v>
      </c>
      <c r="F168" s="1190">
        <v>1.46</v>
      </c>
      <c r="G168" s="1190">
        <v>1.42</v>
      </c>
      <c r="H168" s="1190">
        <v>1.07</v>
      </c>
      <c r="I168" s="1190">
        <v>0.89</v>
      </c>
      <c r="J168" s="1190">
        <v>0.75</v>
      </c>
      <c r="V168" s="1520"/>
      <c r="W168" s="1219"/>
      <c r="X168" s="1219"/>
      <c r="Y168" s="1219"/>
      <c r="Z168" s="1219"/>
      <c r="AA168" s="1219"/>
    </row>
    <row r="169" spans="1:27">
      <c r="B169" s="911">
        <v>2</v>
      </c>
      <c r="C169" s="912" t="s">
        <v>85</v>
      </c>
      <c r="D169" s="1190">
        <v>2.89</v>
      </c>
      <c r="E169" s="1190">
        <v>2.5299999999999998</v>
      </c>
      <c r="F169" s="1190">
        <v>1.46</v>
      </c>
      <c r="G169" s="1190">
        <v>1.42</v>
      </c>
      <c r="H169" s="1190">
        <v>1.07</v>
      </c>
      <c r="I169" s="1190">
        <v>0.89</v>
      </c>
      <c r="J169" s="1190">
        <v>0.75</v>
      </c>
      <c r="V169" s="1520"/>
      <c r="W169" s="1219"/>
      <c r="X169" s="1219"/>
      <c r="Y169" s="1219"/>
      <c r="Z169" s="1219"/>
      <c r="AA169" s="1219"/>
    </row>
    <row r="170" spans="1:27">
      <c r="B170" s="911">
        <v>3</v>
      </c>
      <c r="C170" s="912" t="s">
        <v>86</v>
      </c>
      <c r="D170" s="1190">
        <v>2.58</v>
      </c>
      <c r="E170" s="1190">
        <v>2.2599999999999998</v>
      </c>
      <c r="F170" s="1190">
        <v>1.29</v>
      </c>
      <c r="G170" s="1190">
        <v>1.23</v>
      </c>
      <c r="H170" s="1190">
        <v>0.9</v>
      </c>
      <c r="I170" s="1190">
        <v>0.74</v>
      </c>
      <c r="J170" s="1190">
        <v>0.62</v>
      </c>
      <c r="V170" s="1520"/>
      <c r="W170" s="1219"/>
      <c r="X170" s="1219"/>
      <c r="Y170" s="1219"/>
      <c r="Z170" s="1219"/>
      <c r="AA170" s="1219"/>
    </row>
    <row r="171" spans="1:27">
      <c r="B171" s="911">
        <v>4</v>
      </c>
      <c r="C171" s="912" t="s">
        <v>88</v>
      </c>
      <c r="D171" s="1190">
        <v>2.58</v>
      </c>
      <c r="E171" s="1190">
        <v>2.2599999999999998</v>
      </c>
      <c r="F171" s="1190">
        <v>1.29</v>
      </c>
      <c r="G171" s="1190">
        <v>1.23</v>
      </c>
      <c r="H171" s="1190">
        <v>0.9</v>
      </c>
      <c r="I171" s="1190">
        <v>0.74</v>
      </c>
      <c r="J171" s="1190">
        <v>0.62</v>
      </c>
      <c r="V171" s="1520"/>
      <c r="W171" s="1219"/>
      <c r="X171" s="1219"/>
      <c r="Y171" s="1219"/>
      <c r="Z171" s="1219"/>
      <c r="AA171" s="1219"/>
    </row>
    <row r="172" spans="1:27">
      <c r="B172" s="911">
        <v>5</v>
      </c>
      <c r="C172" s="912" t="s">
        <v>89</v>
      </c>
      <c r="D172" s="1190">
        <v>2.58</v>
      </c>
      <c r="E172" s="1190">
        <v>2.2599999999999998</v>
      </c>
      <c r="F172" s="1190">
        <v>1.29</v>
      </c>
      <c r="G172" s="1190">
        <v>1.23</v>
      </c>
      <c r="H172" s="1190">
        <v>0.9</v>
      </c>
      <c r="I172" s="1190">
        <v>0.74</v>
      </c>
      <c r="J172" s="1190">
        <v>0.62</v>
      </c>
      <c r="V172" s="1520"/>
      <c r="W172" s="1219"/>
      <c r="X172" s="1219"/>
      <c r="Y172" s="1219"/>
      <c r="Z172" s="1219"/>
      <c r="AA172" s="1219"/>
    </row>
    <row r="173" spans="1:27">
      <c r="B173" s="17"/>
      <c r="C173" s="17"/>
      <c r="D173" s="17"/>
      <c r="E173" s="17"/>
      <c r="F173" s="17"/>
      <c r="G173" s="17"/>
      <c r="H173" s="17"/>
      <c r="I173" s="17"/>
      <c r="J173" s="17"/>
      <c r="K173" s="17"/>
      <c r="L173" s="17"/>
      <c r="M173" s="17"/>
      <c r="N173" s="17"/>
      <c r="O173" s="17"/>
      <c r="V173" s="1520"/>
      <c r="W173" s="1219"/>
      <c r="X173" s="1219"/>
      <c r="Y173" s="1219"/>
      <c r="Z173" s="1219"/>
      <c r="AA173" s="1219"/>
    </row>
    <row r="174" spans="1:27">
      <c r="B174" s="1216" t="s">
        <v>752</v>
      </c>
      <c r="C174" s="17"/>
      <c r="D174" s="17"/>
      <c r="E174" s="17"/>
      <c r="F174" s="17"/>
      <c r="G174" s="17"/>
      <c r="H174" s="17"/>
      <c r="I174" s="17"/>
      <c r="J174" s="17"/>
      <c r="K174" s="17"/>
      <c r="L174" s="17"/>
      <c r="M174" s="17"/>
      <c r="N174" s="17"/>
      <c r="O174" s="17"/>
      <c r="V174" s="1520"/>
      <c r="W174" s="1219"/>
      <c r="X174" s="1219"/>
      <c r="Y174" s="1219"/>
      <c r="Z174" s="1219"/>
      <c r="AA174" s="1219"/>
    </row>
    <row r="175" spans="1:27">
      <c r="B175" s="1885" t="s">
        <v>753</v>
      </c>
      <c r="C175" s="17"/>
      <c r="D175" s="17"/>
      <c r="E175" s="17"/>
      <c r="F175" s="17"/>
      <c r="G175" s="17"/>
      <c r="H175" s="17"/>
      <c r="I175" s="17"/>
      <c r="J175" s="17"/>
      <c r="K175" s="17"/>
      <c r="L175" s="17"/>
      <c r="M175" s="17"/>
      <c r="N175" s="17"/>
      <c r="O175" s="17"/>
      <c r="V175" s="1520"/>
      <c r="W175" s="1219"/>
      <c r="X175" s="1219"/>
      <c r="Y175" s="1219"/>
      <c r="Z175" s="1219"/>
      <c r="AA175" s="1219"/>
    </row>
    <row r="176" spans="1:27">
      <c r="C176" s="17"/>
      <c r="D176" s="17"/>
      <c r="E176" s="17"/>
      <c r="F176" s="17"/>
      <c r="G176" s="17"/>
      <c r="H176" s="17"/>
      <c r="I176" s="17"/>
      <c r="J176" s="17"/>
      <c r="K176" s="17"/>
      <c r="L176" s="17"/>
      <c r="M176" s="17"/>
      <c r="N176" s="1184" t="s">
        <v>66</v>
      </c>
      <c r="O176" s="17"/>
      <c r="V176" s="1520"/>
      <c r="W176" s="1219"/>
      <c r="X176" s="1219"/>
      <c r="Y176" s="1219"/>
      <c r="Z176" s="1219"/>
      <c r="AA176" s="1219"/>
    </row>
    <row r="177" spans="1:27">
      <c r="A177" s="55" t="s">
        <v>1483</v>
      </c>
      <c r="B177" s="1603" t="s">
        <v>33</v>
      </c>
      <c r="C177" s="921" t="s">
        <v>81</v>
      </c>
      <c r="D177" s="1186" t="s">
        <v>954</v>
      </c>
      <c r="E177" s="1187"/>
      <c r="F177" s="1194"/>
      <c r="G177" s="1194"/>
      <c r="H177" s="1194"/>
      <c r="I177" s="1194"/>
      <c r="J177" s="1194"/>
      <c r="K177" s="1194"/>
      <c r="L177" s="1194"/>
      <c r="M177" s="1194"/>
      <c r="N177" s="1195"/>
      <c r="O177" s="17"/>
      <c r="P177" s="1210" t="s">
        <v>69</v>
      </c>
      <c r="Q177" s="1211" t="s">
        <v>70</v>
      </c>
      <c r="R177" s="1210" t="s">
        <v>71</v>
      </c>
      <c r="S177" s="1211" t="s">
        <v>72</v>
      </c>
      <c r="T177" s="1212" t="s">
        <v>641</v>
      </c>
      <c r="U177" s="1213" t="s">
        <v>411</v>
      </c>
      <c r="V177" s="1521" t="s">
        <v>69</v>
      </c>
      <c r="W177" s="1211" t="s">
        <v>70</v>
      </c>
      <c r="X177" s="1210" t="s">
        <v>71</v>
      </c>
      <c r="Y177" s="1211" t="s">
        <v>72</v>
      </c>
      <c r="Z177" s="1212" t="s">
        <v>641</v>
      </c>
      <c r="AA177" s="1213" t="s">
        <v>411</v>
      </c>
    </row>
    <row r="178" spans="1:27">
      <c r="B178" s="1604"/>
      <c r="C178" s="1189"/>
      <c r="D178" s="1204">
        <v>10</v>
      </c>
      <c r="E178" s="1191">
        <v>20</v>
      </c>
      <c r="F178" s="1191">
        <v>50</v>
      </c>
      <c r="G178" s="1191">
        <v>100</v>
      </c>
      <c r="H178" s="1191">
        <v>200</v>
      </c>
      <c r="I178" s="1191">
        <v>500</v>
      </c>
      <c r="J178" s="1865">
        <v>1000</v>
      </c>
      <c r="K178" s="1865">
        <v>2000</v>
      </c>
      <c r="L178" s="1865">
        <v>5000</v>
      </c>
      <c r="M178" s="1865">
        <v>8000</v>
      </c>
      <c r="N178" s="1865">
        <v>10000</v>
      </c>
      <c r="O178" s="17"/>
      <c r="P178" s="1210">
        <f ca="1">IF(U178&lt;=$D$178,$D$178,INDEX($D$178:$N$178,1,MATCH(U178,$D$178:$N$178,1)))</f>
        <v>10</v>
      </c>
      <c r="Q178" s="1211">
        <f ca="1">IF(OR(U178&lt;=$D$178,U178&gt;=$N$178),P178,INDEX($D$178:$N$178,1,MATCH(U178,$D$178:$N$178,1)+1))</f>
        <v>10</v>
      </c>
      <c r="R178" s="1210">
        <f ca="1">INDEX($D$179:$N$183,CCT,MATCH(P178,$D$178:$N$178,1))</f>
        <v>1.86</v>
      </c>
      <c r="S178" s="1211">
        <f ca="1">INDEX($D$179:$N$183,CCT,MATCH(Q178,$D$178:$N$178,1))</f>
        <v>1.86</v>
      </c>
      <c r="T178" s="1212">
        <f ca="1">IF(R178=S178,S178,S178-(S178-R178)/(Q178-P178)*(Q178-U178))</f>
        <v>1.86</v>
      </c>
      <c r="U178" s="1519">
        <f ca="1">D5</f>
        <v>0.34403316717430643</v>
      </c>
      <c r="V178" s="1521">
        <f>IF(AA178&lt;=$D$178,$D$178,INDEX($D$178:$N$178,1,MATCH(AA178,$D$178:$N$178,1)))</f>
        <v>10</v>
      </c>
      <c r="W178" s="1211">
        <f>IF(OR(AA178&lt;=$D$178,AA178&gt;=$N$178),V178,INDEX($D$178:$N$178,1,MATCH(AA178,$D$178:$N$178,1)+1))</f>
        <v>10</v>
      </c>
      <c r="X178" s="1210">
        <f>INDEX($D$179:$N$183,CCT,MATCH(V178,$D$178:$N$178,1))</f>
        <v>1.86</v>
      </c>
      <c r="Y178" s="1211">
        <f>INDEX($D$179:$N$183,CCT,MATCH(W178,$D$178:$N$178,1))</f>
        <v>1.86</v>
      </c>
      <c r="Z178" s="1212">
        <f>IF(X178=Y178,Y178,Y178-(Y178-X178)/(W178-V178)*(W178-AA178))</f>
        <v>1.86</v>
      </c>
      <c r="AA178" s="1213">
        <f>E5</f>
        <v>0</v>
      </c>
    </row>
    <row r="179" spans="1:27">
      <c r="B179" s="911">
        <v>1</v>
      </c>
      <c r="C179" s="1192" t="s">
        <v>83</v>
      </c>
      <c r="D179" s="1255">
        <v>2.2200000000000002</v>
      </c>
      <c r="E179" s="1255">
        <v>1.94</v>
      </c>
      <c r="F179" s="1255">
        <v>1.63</v>
      </c>
      <c r="G179" s="1255">
        <v>1.48</v>
      </c>
      <c r="H179" s="1255">
        <v>1.36</v>
      </c>
      <c r="I179" s="1255">
        <v>1.1399999999999999</v>
      </c>
      <c r="J179" s="1255">
        <v>0.97</v>
      </c>
      <c r="K179" s="1255">
        <v>0.83</v>
      </c>
      <c r="L179" s="1255">
        <v>0.61</v>
      </c>
      <c r="M179" s="1255">
        <v>0.48</v>
      </c>
      <c r="N179" s="1255">
        <v>0.43</v>
      </c>
      <c r="O179" s="17"/>
      <c r="V179" s="1520"/>
      <c r="W179" s="1219"/>
      <c r="X179" s="1219"/>
      <c r="Y179" s="1219"/>
      <c r="Z179" s="1219"/>
      <c r="AA179" s="1219"/>
    </row>
    <row r="180" spans="1:27">
      <c r="B180" s="911">
        <v>2</v>
      </c>
      <c r="C180" s="1192" t="s">
        <v>85</v>
      </c>
      <c r="D180" s="1255">
        <v>2.09</v>
      </c>
      <c r="E180" s="1255">
        <v>1.83</v>
      </c>
      <c r="F180" s="1255">
        <v>1.53</v>
      </c>
      <c r="G180" s="1255">
        <v>1.38</v>
      </c>
      <c r="H180" s="1255">
        <v>1.28</v>
      </c>
      <c r="I180" s="1255">
        <v>1.04</v>
      </c>
      <c r="J180" s="1255">
        <v>0.9</v>
      </c>
      <c r="K180" s="1255">
        <v>0.75</v>
      </c>
      <c r="L180" s="1255">
        <v>0.53</v>
      </c>
      <c r="M180" s="1255">
        <v>0.39</v>
      </c>
      <c r="N180" s="1255">
        <v>0.33</v>
      </c>
      <c r="O180" s="17"/>
      <c r="V180" s="1520"/>
      <c r="W180" s="1219"/>
      <c r="X180" s="1219"/>
      <c r="Y180" s="1219"/>
      <c r="Z180" s="1219"/>
      <c r="AA180" s="1219"/>
    </row>
    <row r="181" spans="1:27">
      <c r="B181" s="911">
        <v>3</v>
      </c>
      <c r="C181" s="1192" t="s">
        <v>86</v>
      </c>
      <c r="D181" s="1255">
        <v>1.86</v>
      </c>
      <c r="E181" s="1255">
        <v>1.62</v>
      </c>
      <c r="F181" s="1255">
        <v>1.36</v>
      </c>
      <c r="G181" s="1255">
        <v>1.22</v>
      </c>
      <c r="H181" s="1255">
        <v>1.1299999999999999</v>
      </c>
      <c r="I181" s="1255">
        <v>0.91</v>
      </c>
      <c r="J181" s="1255">
        <v>0.78</v>
      </c>
      <c r="K181" s="1255">
        <v>0.66</v>
      </c>
      <c r="L181" s="1255">
        <v>0.47</v>
      </c>
      <c r="M181" s="1255">
        <v>0.34</v>
      </c>
      <c r="N181" s="1255">
        <v>0.28999999999999998</v>
      </c>
      <c r="O181" s="17"/>
      <c r="V181" s="1520"/>
      <c r="W181" s="1219"/>
      <c r="X181" s="1219"/>
      <c r="Y181" s="1219"/>
      <c r="Z181" s="1219"/>
      <c r="AA181" s="1219"/>
    </row>
    <row r="182" spans="1:27">
      <c r="B182" s="911">
        <v>4</v>
      </c>
      <c r="C182" s="1192" t="s">
        <v>88</v>
      </c>
      <c r="D182" s="1255">
        <v>1.62</v>
      </c>
      <c r="E182" s="1255">
        <v>1.39</v>
      </c>
      <c r="F182" s="1255">
        <v>1.19</v>
      </c>
      <c r="G182" s="1255">
        <v>1.07</v>
      </c>
      <c r="H182" s="1255">
        <v>0.97</v>
      </c>
      <c r="I182" s="1255">
        <v>0.8</v>
      </c>
      <c r="J182" s="1255">
        <v>0.7</v>
      </c>
      <c r="K182" s="1255">
        <v>0.56000000000000005</v>
      </c>
      <c r="L182" s="1255">
        <v>0.41</v>
      </c>
      <c r="M182" s="1255">
        <v>0.28999999999999998</v>
      </c>
      <c r="N182" s="1255">
        <v>0.25</v>
      </c>
      <c r="O182" s="17"/>
      <c r="V182" s="1520"/>
      <c r="W182" s="1219"/>
      <c r="X182" s="1219"/>
      <c r="Y182" s="1219"/>
      <c r="Z182" s="1219"/>
      <c r="AA182" s="1219"/>
    </row>
    <row r="183" spans="1:27">
      <c r="B183" s="911">
        <v>5</v>
      </c>
      <c r="C183" s="1192" t="s">
        <v>89</v>
      </c>
      <c r="D183" s="1255">
        <v>1.45</v>
      </c>
      <c r="E183" s="1255">
        <v>1.23</v>
      </c>
      <c r="F183" s="1255">
        <v>1.01</v>
      </c>
      <c r="G183" s="1255">
        <v>0.92000000000001303</v>
      </c>
      <c r="H183" s="1255">
        <v>0.8</v>
      </c>
      <c r="I183" s="1255">
        <v>0.7</v>
      </c>
      <c r="J183" s="1255">
        <v>0.57999999999999996</v>
      </c>
      <c r="K183" s="1255"/>
      <c r="L183" s="1255"/>
      <c r="M183" s="1255"/>
      <c r="N183" s="1255"/>
      <c r="O183" s="17"/>
      <c r="V183" s="1520"/>
      <c r="W183" s="1219"/>
      <c r="X183" s="1219"/>
      <c r="Y183" s="1219"/>
      <c r="Z183" s="1219"/>
      <c r="AA183" s="1219"/>
    </row>
    <row r="184" spans="1:27">
      <c r="B184" s="17"/>
      <c r="C184" s="17"/>
      <c r="E184" s="17"/>
      <c r="F184" s="17"/>
      <c r="G184" s="17"/>
      <c r="H184" s="17"/>
      <c r="I184" s="17"/>
      <c r="J184" s="17"/>
      <c r="K184" s="17"/>
      <c r="L184" s="17"/>
      <c r="M184" s="17"/>
      <c r="N184" s="17"/>
      <c r="O184" s="17"/>
      <c r="V184" s="1520"/>
      <c r="W184" s="1219"/>
      <c r="X184" s="1219"/>
      <c r="Y184" s="1219"/>
      <c r="Z184" s="1219"/>
      <c r="AA184" s="1219"/>
    </row>
    <row r="185" spans="1:27">
      <c r="B185" s="1885" t="s">
        <v>754</v>
      </c>
      <c r="C185" s="17"/>
      <c r="D185" s="299"/>
      <c r="E185" s="17"/>
      <c r="F185" s="17"/>
      <c r="G185" s="17"/>
      <c r="H185" s="17"/>
      <c r="I185" s="17"/>
      <c r="J185" s="17"/>
      <c r="K185" s="17"/>
      <c r="L185" s="17"/>
      <c r="M185" s="17"/>
      <c r="N185" s="17"/>
      <c r="O185" s="17"/>
      <c r="V185" s="1520"/>
      <c r="W185" s="1219"/>
      <c r="X185" s="1219"/>
      <c r="Y185" s="1219"/>
      <c r="Z185" s="1219"/>
      <c r="AA185" s="1219"/>
    </row>
    <row r="186" spans="1:27">
      <c r="C186" s="17"/>
      <c r="D186" s="17"/>
      <c r="E186" s="17"/>
      <c r="F186" s="17"/>
      <c r="G186" s="17"/>
      <c r="H186" s="17"/>
      <c r="I186" s="17"/>
      <c r="J186" s="17"/>
      <c r="K186" s="17"/>
      <c r="L186" s="17"/>
      <c r="M186" s="17"/>
      <c r="N186" s="1184" t="s">
        <v>66</v>
      </c>
      <c r="O186" s="17"/>
      <c r="V186" s="1520"/>
      <c r="W186" s="1219"/>
      <c r="X186" s="1219"/>
      <c r="Y186" s="1219"/>
      <c r="Z186" s="1219"/>
      <c r="AA186" s="1219"/>
    </row>
    <row r="187" spans="1:27">
      <c r="A187" s="55" t="s">
        <v>1483</v>
      </c>
      <c r="B187" s="1185" t="s">
        <v>33</v>
      </c>
      <c r="C187" s="921" t="s">
        <v>81</v>
      </c>
      <c r="D187" s="1186" t="s">
        <v>954</v>
      </c>
      <c r="E187" s="1187"/>
      <c r="F187" s="1194"/>
      <c r="G187" s="1194"/>
      <c r="H187" s="1194"/>
      <c r="I187" s="1194"/>
      <c r="J187" s="1194"/>
      <c r="K187" s="1194"/>
      <c r="L187" s="1194"/>
      <c r="M187" s="1194"/>
      <c r="N187" s="1195"/>
      <c r="O187" s="17"/>
      <c r="P187" s="1210" t="s">
        <v>69</v>
      </c>
      <c r="Q187" s="1211" t="s">
        <v>70</v>
      </c>
      <c r="R187" s="1210" t="s">
        <v>71</v>
      </c>
      <c r="S187" s="1211" t="s">
        <v>72</v>
      </c>
      <c r="T187" s="1212" t="s">
        <v>641</v>
      </c>
      <c r="U187" s="1213" t="s">
        <v>411</v>
      </c>
      <c r="V187" s="1521" t="s">
        <v>69</v>
      </c>
      <c r="W187" s="1211" t="s">
        <v>70</v>
      </c>
      <c r="X187" s="1210" t="s">
        <v>71</v>
      </c>
      <c r="Y187" s="1211" t="s">
        <v>72</v>
      </c>
      <c r="Z187" s="1212" t="s">
        <v>641</v>
      </c>
      <c r="AA187" s="1213" t="s">
        <v>411</v>
      </c>
    </row>
    <row r="188" spans="1:27">
      <c r="B188" s="922"/>
      <c r="C188" s="1196"/>
      <c r="D188" s="1204">
        <v>10</v>
      </c>
      <c r="E188" s="1191">
        <v>20</v>
      </c>
      <c r="F188" s="1191">
        <v>50</v>
      </c>
      <c r="G188" s="1191">
        <v>100</v>
      </c>
      <c r="H188" s="1191">
        <v>200</v>
      </c>
      <c r="I188" s="1191">
        <v>500</v>
      </c>
      <c r="J188" s="1865">
        <v>1000</v>
      </c>
      <c r="K188" s="1865">
        <v>2000</v>
      </c>
      <c r="L188" s="1865">
        <v>5000</v>
      </c>
      <c r="M188" s="1865">
        <v>8000</v>
      </c>
      <c r="N188" s="1865">
        <v>10000</v>
      </c>
      <c r="O188" s="17"/>
      <c r="P188" s="1210">
        <f>IF(U188&lt;=$D$188,$D$188,INDEX($D$188:$N$188,1,MATCH(U188,$D$188:$N$188,1)))</f>
        <v>10</v>
      </c>
      <c r="Q188" s="1211">
        <f>IF(OR(U188&lt;=$D$188,U188&gt;=$N$188),P188,INDEX($D$188:$N$188,1,MATCH(U188,$D$188:$N$188,1)+1))</f>
        <v>10</v>
      </c>
      <c r="R188" s="1210">
        <f>INDEX($D$189:$N$193,CCT,MATCH(P188,$D$188:$N$188,1))</f>
        <v>2.68</v>
      </c>
      <c r="S188" s="1211">
        <f>INDEX($D$189:$N$193,CCT,MATCH(Q188,$D$188:$N$188,1))</f>
        <v>2.68</v>
      </c>
      <c r="T188" s="1212">
        <f>IF(R188=S188,S188,S188-(S188-R188)/(Q188-P188)*(Q188-U188))</f>
        <v>2.68</v>
      </c>
      <c r="U188" s="1213">
        <f>TMDT_CPXD/10^9</f>
        <v>0</v>
      </c>
      <c r="V188" s="1521">
        <f>IF(AA188&lt;=$D$188,$D$188,INDEX($D$188:$N$188,1,MATCH(AA188,$D$188:$N$188,1)))</f>
        <v>10</v>
      </c>
      <c r="W188" s="1211">
        <f>IF(OR(AA188&lt;=$D$188,AA188&gt;=$N$188),V188,INDEX($D$188:$N$188,1,MATCH(AA188,$D$188:$N$188,1)+1))</f>
        <v>10</v>
      </c>
      <c r="X188" s="1210">
        <f>INDEX($D$189:$N$193,CCT,MATCH(V188,$D$188:$N$188,1))</f>
        <v>2.68</v>
      </c>
      <c r="Y188" s="1211">
        <f>INDEX($D$189:$N$193,CCT,MATCH(W188,$D$188:$N$188,1))</f>
        <v>2.68</v>
      </c>
      <c r="Z188" s="1212">
        <f>IF(X188=Y188,Y188,Y188-(Y188-X188)/(W188-V188)*(W188-AA188))</f>
        <v>2.68</v>
      </c>
      <c r="AA188" s="1213">
        <f>E5</f>
        <v>0</v>
      </c>
    </row>
    <row r="189" spans="1:27">
      <c r="B189" s="911">
        <v>1</v>
      </c>
      <c r="C189" s="1192" t="s">
        <v>83</v>
      </c>
      <c r="D189" s="1255">
        <v>3.23</v>
      </c>
      <c r="E189" s="1255">
        <v>2.79</v>
      </c>
      <c r="F189" s="1255">
        <v>2.35</v>
      </c>
      <c r="G189" s="1255">
        <v>2.13</v>
      </c>
      <c r="H189" s="1255">
        <v>1.95</v>
      </c>
      <c r="I189" s="1255">
        <v>1.64</v>
      </c>
      <c r="J189" s="1255">
        <v>1.39</v>
      </c>
      <c r="K189" s="1255">
        <v>1.19</v>
      </c>
      <c r="L189" s="1255">
        <v>0.9</v>
      </c>
      <c r="M189" s="1255">
        <v>0.7</v>
      </c>
      <c r="N189" s="1255">
        <v>0.63</v>
      </c>
      <c r="O189" s="17"/>
      <c r="V189" s="1520"/>
      <c r="W189" s="1219"/>
      <c r="X189" s="1219"/>
      <c r="Y189" s="1219"/>
      <c r="Z189" s="1219"/>
      <c r="AA189" s="1219"/>
    </row>
    <row r="190" spans="1:27">
      <c r="B190" s="911">
        <v>2</v>
      </c>
      <c r="C190" s="1192" t="s">
        <v>85</v>
      </c>
      <c r="D190" s="1255">
        <v>3.01</v>
      </c>
      <c r="E190" s="1255">
        <v>2.6300000000000101</v>
      </c>
      <c r="F190" s="1255">
        <v>2.21</v>
      </c>
      <c r="G190" s="1255">
        <v>1.99</v>
      </c>
      <c r="H190" s="1255">
        <v>1.82</v>
      </c>
      <c r="I190" s="1255">
        <v>1.49</v>
      </c>
      <c r="J190" s="1255">
        <v>1.28</v>
      </c>
      <c r="K190" s="1255">
        <v>1.07</v>
      </c>
      <c r="L190" s="1255">
        <v>0.79</v>
      </c>
      <c r="M190" s="1255">
        <v>0.57999999999999996</v>
      </c>
      <c r="N190" s="1255">
        <v>0.49</v>
      </c>
      <c r="O190" s="17"/>
      <c r="V190" s="1520"/>
      <c r="W190" s="1219"/>
      <c r="X190" s="1219"/>
      <c r="Y190" s="1219"/>
      <c r="Z190" s="1219"/>
      <c r="AA190" s="1219"/>
    </row>
    <row r="191" spans="1:27">
      <c r="B191" s="911">
        <v>3</v>
      </c>
      <c r="C191" s="1192" t="s">
        <v>86</v>
      </c>
      <c r="D191" s="1255">
        <v>2.68</v>
      </c>
      <c r="E191" s="1255">
        <v>2.33</v>
      </c>
      <c r="F191" s="1255">
        <v>1.97</v>
      </c>
      <c r="G191" s="1255">
        <v>1.77</v>
      </c>
      <c r="H191" s="1255">
        <v>1.58</v>
      </c>
      <c r="I191" s="1255">
        <v>1.32</v>
      </c>
      <c r="J191" s="1255">
        <v>1.1399999999999999</v>
      </c>
      <c r="K191" s="1255">
        <v>0.92</v>
      </c>
      <c r="L191" s="1255">
        <v>0.7</v>
      </c>
      <c r="M191" s="1255">
        <v>0.51</v>
      </c>
      <c r="N191" s="1255">
        <v>0.43</v>
      </c>
      <c r="O191" s="17"/>
      <c r="V191" s="1520"/>
      <c r="W191" s="1219"/>
      <c r="X191" s="1219"/>
      <c r="Y191" s="1219"/>
      <c r="Z191" s="1219"/>
      <c r="AA191" s="1219"/>
    </row>
    <row r="192" spans="1:27">
      <c r="B192" s="911">
        <v>4</v>
      </c>
      <c r="C192" s="1192" t="s">
        <v>88</v>
      </c>
      <c r="D192" s="1255">
        <v>2.36</v>
      </c>
      <c r="E192" s="1255">
        <v>2.0099999999999998</v>
      </c>
      <c r="F192" s="1255">
        <v>1.72</v>
      </c>
      <c r="G192" s="1255">
        <v>1.55</v>
      </c>
      <c r="H192" s="1255">
        <v>1.39</v>
      </c>
      <c r="I192" s="1255">
        <v>1.1599999999999999</v>
      </c>
      <c r="J192" s="1255">
        <v>1.02</v>
      </c>
      <c r="K192" s="1255">
        <v>0.81</v>
      </c>
      <c r="L192" s="1255">
        <v>0.61</v>
      </c>
      <c r="M192" s="1255">
        <v>0.44</v>
      </c>
      <c r="N192" s="1255">
        <v>0.36</v>
      </c>
      <c r="O192" s="17"/>
      <c r="V192" s="1520"/>
      <c r="W192" s="1219"/>
      <c r="X192" s="1219"/>
      <c r="Y192" s="1219"/>
      <c r="Z192" s="1219"/>
      <c r="AA192" s="1219"/>
    </row>
    <row r="193" spans="1:27">
      <c r="B193" s="911">
        <v>5</v>
      </c>
      <c r="C193" s="1192" t="s">
        <v>89</v>
      </c>
      <c r="D193" s="1255">
        <v>2.0699999999999998</v>
      </c>
      <c r="E193" s="1255">
        <v>1.76</v>
      </c>
      <c r="F193" s="1255">
        <v>1.49</v>
      </c>
      <c r="G193" s="1255">
        <v>1.35</v>
      </c>
      <c r="H193" s="1255">
        <v>1.1499999999999999</v>
      </c>
      <c r="I193" s="1255">
        <v>0.98</v>
      </c>
      <c r="J193" s="1255"/>
      <c r="K193" s="1255"/>
      <c r="L193" s="1255"/>
      <c r="M193" s="1255"/>
      <c r="N193" s="1255"/>
      <c r="O193" s="17"/>
      <c r="V193" s="1520"/>
      <c r="W193" s="1219"/>
      <c r="X193" s="1219"/>
      <c r="Y193" s="1219"/>
      <c r="Z193" s="1219"/>
      <c r="AA193" s="1219"/>
    </row>
    <row r="194" spans="1:27">
      <c r="B194" s="17"/>
      <c r="C194" s="17"/>
      <c r="D194" s="17"/>
      <c r="E194" s="17"/>
      <c r="F194" s="17"/>
      <c r="G194" s="17"/>
      <c r="H194" s="17"/>
      <c r="I194" s="17"/>
      <c r="J194" s="17"/>
      <c r="K194" s="17"/>
      <c r="L194" s="17"/>
      <c r="M194" s="17"/>
      <c r="N194" s="17"/>
      <c r="O194" s="17"/>
      <c r="V194" s="1520"/>
      <c r="W194" s="1219"/>
      <c r="X194" s="1219"/>
      <c r="Y194" s="1219"/>
      <c r="Z194" s="1219"/>
      <c r="AA194" s="1219"/>
    </row>
    <row r="195" spans="1:27" s="1545" customFormat="1">
      <c r="B195" s="1885" t="s">
        <v>1391</v>
      </c>
      <c r="C195" s="1546"/>
      <c r="D195" s="1546"/>
      <c r="E195" s="1546"/>
      <c r="F195" s="1546"/>
      <c r="G195" s="1546"/>
      <c r="H195" s="1546"/>
      <c r="I195" s="1546"/>
      <c r="J195" s="1546"/>
      <c r="K195" s="1546"/>
      <c r="L195" s="1546"/>
      <c r="M195" s="1546"/>
      <c r="N195" s="1546"/>
      <c r="O195" s="1546"/>
      <c r="P195" s="1548"/>
      <c r="Q195" s="1548"/>
      <c r="R195" s="1548"/>
      <c r="S195" s="1548"/>
      <c r="T195" s="1548"/>
      <c r="U195" s="1548"/>
      <c r="V195" s="1549"/>
      <c r="W195" s="1548"/>
      <c r="X195" s="1548"/>
      <c r="Y195" s="1548"/>
      <c r="Z195" s="1548"/>
      <c r="AA195" s="1548"/>
    </row>
    <row r="196" spans="1:27">
      <c r="B196" s="17"/>
      <c r="C196" s="17"/>
      <c r="D196" s="17"/>
      <c r="E196" s="17"/>
      <c r="F196" s="17"/>
      <c r="G196" s="17"/>
      <c r="H196" s="17"/>
      <c r="I196" s="17"/>
      <c r="J196" s="17"/>
      <c r="K196" s="1184" t="s">
        <v>66</v>
      </c>
      <c r="L196" s="17"/>
      <c r="M196" s="17"/>
      <c r="N196" s="17"/>
      <c r="O196" s="17"/>
      <c r="V196" s="1520"/>
      <c r="W196" s="1219"/>
      <c r="X196" s="1219"/>
      <c r="Y196" s="1219"/>
      <c r="Z196" s="1219"/>
      <c r="AA196" s="1219"/>
    </row>
    <row r="197" spans="1:27">
      <c r="A197" s="55" t="s">
        <v>1483</v>
      </c>
      <c r="B197" s="1197" t="s">
        <v>33</v>
      </c>
      <c r="C197" s="921" t="s">
        <v>449</v>
      </c>
      <c r="D197" s="910" t="s">
        <v>68</v>
      </c>
      <c r="E197" s="910"/>
      <c r="F197" s="910"/>
      <c r="G197" s="910"/>
      <c r="H197" s="910"/>
      <c r="I197" s="910"/>
      <c r="J197" s="910"/>
      <c r="K197" s="910"/>
      <c r="L197" s="17"/>
      <c r="M197" s="17"/>
      <c r="N197" s="17"/>
      <c r="O197" s="17"/>
      <c r="V197" s="1520"/>
      <c r="W197" s="1219"/>
      <c r="X197" s="1219"/>
      <c r="Y197" s="1219"/>
      <c r="Z197" s="1219"/>
      <c r="AA197" s="1219"/>
    </row>
    <row r="198" spans="1:27">
      <c r="B198" s="1189"/>
      <c r="C198" s="1189"/>
      <c r="D198" s="1204">
        <v>5</v>
      </c>
      <c r="E198" s="911">
        <v>10</v>
      </c>
      <c r="F198" s="911">
        <v>15</v>
      </c>
      <c r="G198" s="911">
        <v>25</v>
      </c>
      <c r="H198" s="911">
        <v>50</v>
      </c>
      <c r="I198" s="911">
        <v>100</v>
      </c>
      <c r="J198" s="911">
        <v>200</v>
      </c>
      <c r="K198" s="911">
        <v>500</v>
      </c>
      <c r="L198" s="17"/>
      <c r="M198" s="17"/>
      <c r="N198" s="17"/>
      <c r="O198" s="17"/>
      <c r="V198" s="1520"/>
      <c r="W198" s="1219"/>
      <c r="X198" s="1219"/>
      <c r="Y198" s="1219"/>
      <c r="Z198" s="1219"/>
      <c r="AA198" s="1219"/>
    </row>
    <row r="199" spans="1:27">
      <c r="B199" s="912">
        <v>1</v>
      </c>
      <c r="C199" s="912" t="s">
        <v>1392</v>
      </c>
      <c r="D199" s="1190">
        <v>1.83</v>
      </c>
      <c r="E199" s="1190">
        <v>1.4</v>
      </c>
      <c r="F199" s="1190">
        <v>1.3</v>
      </c>
      <c r="G199" s="1190">
        <v>1.1000000000000001</v>
      </c>
      <c r="H199" s="1190">
        <v>0.95</v>
      </c>
      <c r="I199" s="1190">
        <v>0.8</v>
      </c>
      <c r="J199" s="1190">
        <v>0.7</v>
      </c>
      <c r="K199" s="1190">
        <v>0.6</v>
      </c>
      <c r="L199" s="17"/>
      <c r="M199" s="17"/>
      <c r="N199" s="17"/>
      <c r="O199" s="17"/>
      <c r="V199" s="1520"/>
      <c r="W199" s="1219"/>
      <c r="X199" s="1219"/>
      <c r="Y199" s="1219"/>
      <c r="Z199" s="1219"/>
      <c r="AA199" s="1219"/>
    </row>
    <row r="200" spans="1:27">
      <c r="B200" s="912">
        <v>2</v>
      </c>
      <c r="C200" s="912" t="s">
        <v>1393</v>
      </c>
      <c r="D200" s="1190">
        <v>1.9</v>
      </c>
      <c r="E200" s="1190">
        <v>1.5</v>
      </c>
      <c r="F200" s="1190">
        <v>1.4</v>
      </c>
      <c r="G200" s="1190">
        <v>1.3</v>
      </c>
      <c r="H200" s="1190">
        <v>1.1000000000000001</v>
      </c>
      <c r="I200" s="1190">
        <v>1</v>
      </c>
      <c r="J200" s="1190">
        <v>0.9</v>
      </c>
      <c r="K200" s="1190">
        <v>0.7</v>
      </c>
      <c r="L200" s="17"/>
      <c r="M200" s="17"/>
      <c r="N200" s="17"/>
      <c r="O200" s="17"/>
      <c r="V200" s="1520"/>
      <c r="W200" s="1219"/>
      <c r="X200" s="1219"/>
      <c r="Y200" s="1219"/>
      <c r="Z200" s="1219"/>
      <c r="AA200" s="1219"/>
    </row>
    <row r="201" spans="1:27">
      <c r="A201" s="1906" t="s">
        <v>1489</v>
      </c>
      <c r="B201" s="912">
        <v>3</v>
      </c>
      <c r="C201" s="912" t="s">
        <v>1394</v>
      </c>
      <c r="D201" s="1190">
        <v>2.1</v>
      </c>
      <c r="E201" s="1190">
        <v>1.6</v>
      </c>
      <c r="F201" s="1190">
        <v>1.5</v>
      </c>
      <c r="G201" s="1190">
        <v>1.35</v>
      </c>
      <c r="H201" s="1190">
        <v>1.1499999999999999</v>
      </c>
      <c r="I201" s="1190">
        <v>1.05</v>
      </c>
      <c r="J201" s="1190">
        <v>0.95</v>
      </c>
      <c r="K201" s="1190">
        <v>0.8</v>
      </c>
      <c r="L201" s="17"/>
      <c r="M201" s="17"/>
      <c r="N201" s="17"/>
      <c r="O201" s="17"/>
      <c r="V201" s="1520"/>
      <c r="W201" s="1219"/>
      <c r="X201" s="1219"/>
      <c r="Y201" s="1219"/>
      <c r="Z201" s="1219"/>
      <c r="AA201" s="1219"/>
    </row>
    <row r="202" spans="1:27">
      <c r="B202" s="17"/>
      <c r="C202" s="17"/>
      <c r="D202" s="17"/>
      <c r="E202" s="17"/>
      <c r="F202" s="17"/>
      <c r="G202" s="17"/>
      <c r="H202" s="17"/>
      <c r="I202" s="17"/>
      <c r="J202" s="17"/>
      <c r="K202" s="17"/>
      <c r="L202" s="17"/>
      <c r="M202" s="17"/>
      <c r="N202" s="17"/>
      <c r="O202" s="17"/>
      <c r="V202" s="1520"/>
      <c r="W202" s="1219"/>
      <c r="X202" s="1219"/>
      <c r="Y202" s="1219"/>
      <c r="Z202" s="1219"/>
      <c r="AA202" s="1219"/>
    </row>
    <row r="203" spans="1:27" s="1518" customFormat="1">
      <c r="B203" s="1885" t="s">
        <v>1395</v>
      </c>
      <c r="C203" s="1547"/>
      <c r="D203" s="1547"/>
      <c r="E203" s="1547"/>
      <c r="F203" s="1547"/>
      <c r="G203" s="1547"/>
      <c r="H203" s="1547"/>
      <c r="I203" s="1547"/>
      <c r="J203" s="1547"/>
      <c r="K203" s="1547"/>
      <c r="L203" s="1547"/>
      <c r="M203" s="1547"/>
      <c r="N203" s="1547"/>
      <c r="O203" s="1547"/>
      <c r="P203" s="1557"/>
      <c r="Q203" s="1557"/>
      <c r="R203" s="1557"/>
      <c r="S203" s="1557"/>
      <c r="T203" s="1557"/>
      <c r="U203" s="1557"/>
      <c r="V203" s="1558"/>
      <c r="W203" s="1557"/>
      <c r="X203" s="1557"/>
      <c r="Y203" s="1557"/>
      <c r="Z203" s="1557"/>
      <c r="AA203" s="1557"/>
    </row>
    <row r="204" spans="1:27">
      <c r="B204" s="17"/>
      <c r="C204" s="17"/>
      <c r="D204" s="17"/>
      <c r="E204" s="17"/>
      <c r="F204" s="17"/>
      <c r="G204" s="17"/>
      <c r="H204" s="17"/>
      <c r="I204" s="17"/>
      <c r="J204" s="17"/>
      <c r="K204" s="1184" t="s">
        <v>66</v>
      </c>
      <c r="L204" s="17"/>
      <c r="M204" s="17"/>
      <c r="N204" s="17"/>
      <c r="O204" s="17"/>
      <c r="V204" s="1520"/>
      <c r="W204" s="1219"/>
      <c r="X204" s="1219"/>
      <c r="Y204" s="1219"/>
      <c r="Z204" s="1219"/>
      <c r="AA204" s="1219"/>
    </row>
    <row r="205" spans="1:27">
      <c r="A205" s="55" t="s">
        <v>1483</v>
      </c>
      <c r="B205" s="1197" t="s">
        <v>33</v>
      </c>
      <c r="C205" s="921" t="s">
        <v>449</v>
      </c>
      <c r="D205" s="910" t="s">
        <v>68</v>
      </c>
      <c r="E205" s="910"/>
      <c r="F205" s="910"/>
      <c r="G205" s="910"/>
      <c r="H205" s="910"/>
      <c r="I205" s="910"/>
      <c r="J205" s="910"/>
      <c r="K205" s="910"/>
      <c r="L205" s="17"/>
      <c r="M205" s="17"/>
      <c r="N205" s="17"/>
      <c r="O205" s="17"/>
      <c r="V205" s="1520"/>
      <c r="W205" s="1219"/>
      <c r="X205" s="1219"/>
      <c r="Y205" s="1219"/>
      <c r="Z205" s="1219"/>
      <c r="AA205" s="1219"/>
    </row>
    <row r="206" spans="1:27">
      <c r="B206" s="1189"/>
      <c r="C206" s="1189"/>
      <c r="D206" s="1899" t="s">
        <v>1377</v>
      </c>
      <c r="E206" s="911">
        <v>10</v>
      </c>
      <c r="F206" s="911">
        <v>15</v>
      </c>
      <c r="G206" s="911">
        <v>25</v>
      </c>
      <c r="H206" s="911">
        <v>50</v>
      </c>
      <c r="I206" s="911">
        <v>100</v>
      </c>
      <c r="J206" s="911">
        <v>200</v>
      </c>
      <c r="K206" s="911">
        <v>500</v>
      </c>
      <c r="L206" s="17"/>
      <c r="M206" s="17"/>
      <c r="N206" s="17"/>
      <c r="O206" s="17"/>
      <c r="V206" s="1520"/>
      <c r="W206" s="1219"/>
      <c r="X206" s="1219"/>
      <c r="Y206" s="1219"/>
      <c r="Z206" s="1219"/>
      <c r="AA206" s="1219"/>
    </row>
    <row r="207" spans="1:27">
      <c r="B207" s="912">
        <v>1</v>
      </c>
      <c r="C207" s="912" t="s">
        <v>1396</v>
      </c>
      <c r="D207" s="1190">
        <v>1</v>
      </c>
      <c r="E207" s="1190">
        <v>0.75</v>
      </c>
      <c r="F207" s="1190">
        <v>0.6</v>
      </c>
      <c r="G207" s="1190">
        <v>0.5</v>
      </c>
      <c r="H207" s="1190">
        <v>0.45</v>
      </c>
      <c r="I207" s="1190">
        <v>0.35</v>
      </c>
      <c r="J207" s="1190">
        <v>0.25</v>
      </c>
      <c r="K207" s="1190">
        <v>0.15</v>
      </c>
      <c r="L207" s="17"/>
      <c r="M207" s="17"/>
      <c r="N207" s="17"/>
      <c r="O207" s="17"/>
      <c r="V207" s="1520"/>
      <c r="W207" s="1219"/>
      <c r="X207" s="1219"/>
      <c r="Y207" s="1219"/>
      <c r="Z207" s="1219"/>
      <c r="AA207" s="1219"/>
    </row>
    <row r="208" spans="1:27">
      <c r="B208" s="912">
        <v>2</v>
      </c>
      <c r="C208" s="912" t="s">
        <v>1397</v>
      </c>
      <c r="D208" s="1190">
        <v>0.9</v>
      </c>
      <c r="E208" s="1190">
        <v>0.7</v>
      </c>
      <c r="F208" s="1190">
        <v>0.55000000000000004</v>
      </c>
      <c r="G208" s="1190">
        <v>0.45</v>
      </c>
      <c r="H208" s="1190">
        <v>0.4</v>
      </c>
      <c r="I208" s="1190">
        <v>0.3</v>
      </c>
      <c r="J208" s="1190">
        <v>0.2</v>
      </c>
      <c r="K208" s="1190">
        <v>0.1</v>
      </c>
      <c r="L208" s="17"/>
      <c r="M208" s="17"/>
      <c r="N208" s="17"/>
      <c r="O208" s="17"/>
      <c r="V208" s="1520"/>
      <c r="W208" s="1219"/>
      <c r="X208" s="1219"/>
      <c r="Y208" s="1219"/>
      <c r="Z208" s="1219"/>
      <c r="AA208" s="1219"/>
    </row>
    <row r="209" spans="1:27">
      <c r="B209" s="912">
        <v>3</v>
      </c>
      <c r="C209" s="912" t="s">
        <v>1398</v>
      </c>
      <c r="D209" s="1190">
        <v>1.35</v>
      </c>
      <c r="E209" s="1190">
        <v>0.8</v>
      </c>
      <c r="F209" s="1190">
        <v>0.6</v>
      </c>
      <c r="G209" s="1190">
        <v>0.5</v>
      </c>
      <c r="H209" s="1190">
        <v>0.4</v>
      </c>
      <c r="I209" s="1190">
        <v>0.3</v>
      </c>
      <c r="J209" s="1190">
        <v>0.2</v>
      </c>
      <c r="K209" s="1190">
        <v>0.1</v>
      </c>
      <c r="L209" s="17"/>
      <c r="M209" s="17"/>
      <c r="N209" s="17"/>
      <c r="O209" s="17"/>
      <c r="V209" s="1520"/>
      <c r="W209" s="1219"/>
      <c r="X209" s="1219"/>
      <c r="Y209" s="1219"/>
      <c r="Z209" s="1219"/>
      <c r="AA209" s="1219"/>
    </row>
    <row r="210" spans="1:27">
      <c r="B210" s="912">
        <v>4</v>
      </c>
      <c r="C210" s="912" t="s">
        <v>1399</v>
      </c>
      <c r="D210" s="1190">
        <v>1.7</v>
      </c>
      <c r="E210" s="1190">
        <v>1.4</v>
      </c>
      <c r="F210" s="1190">
        <v>1.3</v>
      </c>
      <c r="G210" s="1190">
        <v>0.8</v>
      </c>
      <c r="H210" s="1190">
        <v>0.6</v>
      </c>
      <c r="I210" s="1190">
        <v>0.45</v>
      </c>
      <c r="J210" s="1190">
        <v>0.3</v>
      </c>
      <c r="K210" s="1190">
        <v>0.15</v>
      </c>
      <c r="L210" s="17"/>
      <c r="M210" s="17"/>
      <c r="N210" s="17"/>
      <c r="O210" s="17"/>
      <c r="V210" s="1520"/>
      <c r="W210" s="1219"/>
      <c r="X210" s="1219"/>
      <c r="Y210" s="1219"/>
      <c r="Z210" s="1219"/>
      <c r="AA210" s="1219"/>
    </row>
    <row r="211" spans="1:27">
      <c r="B211" s="912">
        <v>5</v>
      </c>
      <c r="C211" s="912" t="s">
        <v>1400</v>
      </c>
      <c r="D211" s="1190">
        <v>2.8</v>
      </c>
      <c r="E211" s="1190">
        <v>1.75</v>
      </c>
      <c r="F211" s="1190">
        <v>1.4</v>
      </c>
      <c r="G211" s="1190">
        <v>0.9</v>
      </c>
      <c r="H211" s="1190">
        <v>0.65</v>
      </c>
      <c r="I211" s="1190">
        <v>0.5</v>
      </c>
      <c r="J211" s="1190">
        <v>0.35</v>
      </c>
      <c r="K211" s="1190">
        <v>0.2</v>
      </c>
      <c r="L211" s="17"/>
      <c r="M211" s="17"/>
      <c r="N211" s="17"/>
      <c r="O211" s="17"/>
      <c r="V211" s="1520"/>
      <c r="W211" s="1219"/>
      <c r="X211" s="1219"/>
      <c r="Y211" s="1219"/>
      <c r="Z211" s="1219"/>
      <c r="AA211" s="1219"/>
    </row>
    <row r="212" spans="1:27">
      <c r="B212" s="912">
        <v>6</v>
      </c>
      <c r="C212" s="912" t="s">
        <v>1401</v>
      </c>
      <c r="D212" s="1190">
        <v>1</v>
      </c>
      <c r="E212" s="1190">
        <v>0.75</v>
      </c>
      <c r="F212" s="1190">
        <v>0.6</v>
      </c>
      <c r="G212" s="1190">
        <v>0.5</v>
      </c>
      <c r="H212" s="1190">
        <v>0.4</v>
      </c>
      <c r="I212" s="1190">
        <v>0.3</v>
      </c>
      <c r="J212" s="1190">
        <v>0.2</v>
      </c>
      <c r="K212" s="1190">
        <v>0.1</v>
      </c>
      <c r="L212" s="17"/>
      <c r="M212" s="17"/>
      <c r="N212" s="17"/>
      <c r="O212" s="17"/>
      <c r="V212" s="1520"/>
      <c r="W212" s="1219"/>
      <c r="X212" s="1219"/>
      <c r="Y212" s="1219"/>
      <c r="Z212" s="1219"/>
      <c r="AA212" s="1219"/>
    </row>
    <row r="213" spans="1:27">
      <c r="B213" s="912">
        <v>7</v>
      </c>
      <c r="C213" s="912" t="s">
        <v>1402</v>
      </c>
      <c r="D213" s="1190">
        <v>2.15</v>
      </c>
      <c r="E213" s="1190">
        <v>1.05</v>
      </c>
      <c r="F213" s="1190">
        <v>0.85</v>
      </c>
      <c r="G213" s="1190">
        <v>0.65</v>
      </c>
      <c r="H213" s="1190">
        <v>0.55000000000000004</v>
      </c>
      <c r="I213" s="1190">
        <v>0.35</v>
      </c>
      <c r="J213" s="1190">
        <v>0.25</v>
      </c>
      <c r="K213" s="1190">
        <v>0.2</v>
      </c>
      <c r="L213" s="17"/>
      <c r="M213" s="17"/>
      <c r="N213" s="17"/>
      <c r="O213" s="17"/>
      <c r="V213" s="1520"/>
      <c r="W213" s="1219"/>
      <c r="X213" s="1219"/>
      <c r="Y213" s="1219"/>
      <c r="Z213" s="1219"/>
      <c r="AA213" s="1219"/>
    </row>
    <row r="214" spans="1:27">
      <c r="B214" s="912">
        <v>8</v>
      </c>
      <c r="C214" s="912" t="s">
        <v>1403</v>
      </c>
      <c r="D214" s="1190">
        <v>1.8</v>
      </c>
      <c r="E214" s="1190">
        <v>1.3</v>
      </c>
      <c r="F214" s="1190">
        <v>1.1000000000000001</v>
      </c>
      <c r="G214" s="1190">
        <v>0.9</v>
      </c>
      <c r="H214" s="1190">
        <v>0.7</v>
      </c>
      <c r="I214" s="1190">
        <v>0.5</v>
      </c>
      <c r="J214" s="1190">
        <v>0.35</v>
      </c>
      <c r="K214" s="1190">
        <v>0.2</v>
      </c>
      <c r="L214" s="17"/>
      <c r="M214" s="17"/>
      <c r="N214" s="17"/>
      <c r="O214" s="17"/>
      <c r="V214" s="1520"/>
      <c r="W214" s="1219"/>
      <c r="X214" s="1219"/>
      <c r="Y214" s="1219"/>
      <c r="Z214" s="1219"/>
      <c r="AA214" s="1219"/>
    </row>
    <row r="215" spans="1:27">
      <c r="A215" s="1906" t="s">
        <v>1491</v>
      </c>
      <c r="B215" s="912">
        <v>9</v>
      </c>
      <c r="C215" s="912" t="s">
        <v>1404</v>
      </c>
      <c r="D215" s="1190">
        <v>1.25</v>
      </c>
      <c r="E215" s="1190">
        <v>0.7</v>
      </c>
      <c r="F215" s="1190">
        <v>0.5</v>
      </c>
      <c r="G215" s="1190">
        <v>0.35</v>
      </c>
      <c r="H215" s="1190">
        <v>0.3</v>
      </c>
      <c r="I215" s="1190">
        <v>0.25</v>
      </c>
      <c r="J215" s="1190">
        <v>0.2</v>
      </c>
      <c r="K215" s="1190">
        <v>0.1</v>
      </c>
      <c r="L215" s="17"/>
      <c r="M215" s="17"/>
      <c r="N215" s="17"/>
      <c r="O215" s="17"/>
      <c r="V215" s="1520"/>
      <c r="W215" s="1219"/>
      <c r="X215" s="1219"/>
      <c r="Y215" s="1219"/>
      <c r="Z215" s="1219"/>
      <c r="AA215" s="1219"/>
    </row>
    <row r="216" spans="1:27">
      <c r="B216" s="17"/>
      <c r="C216" s="17"/>
      <c r="D216" s="17"/>
      <c r="E216" s="17"/>
      <c r="F216" s="17"/>
      <c r="G216" s="17"/>
      <c r="H216" s="17"/>
      <c r="I216" s="17"/>
      <c r="J216" s="17"/>
      <c r="K216" s="17"/>
      <c r="L216" s="17"/>
      <c r="M216" s="17"/>
      <c r="N216" s="17"/>
      <c r="O216" s="17"/>
      <c r="V216" s="1520"/>
      <c r="W216" s="1219"/>
      <c r="X216" s="1219"/>
      <c r="Y216" s="1219"/>
      <c r="Z216" s="1219"/>
      <c r="AA216" s="1219"/>
    </row>
    <row r="217" spans="1:27">
      <c r="B217" s="1885" t="s">
        <v>755</v>
      </c>
      <c r="C217" s="17"/>
      <c r="D217" s="17"/>
      <c r="F217" s="17"/>
      <c r="G217" s="17"/>
      <c r="H217" s="17"/>
      <c r="I217" s="17"/>
      <c r="J217" s="17"/>
      <c r="K217" s="17"/>
      <c r="L217" s="17"/>
      <c r="M217" s="17"/>
      <c r="N217" s="17"/>
      <c r="O217" s="17"/>
      <c r="V217" s="1520"/>
      <c r="W217" s="1219"/>
      <c r="X217" s="1219"/>
      <c r="Y217" s="1219"/>
      <c r="Z217" s="1219"/>
      <c r="AA217" s="1219"/>
    </row>
    <row r="218" spans="1:27">
      <c r="C218" s="17"/>
      <c r="D218" s="17"/>
      <c r="E218" s="17"/>
      <c r="F218" s="17"/>
      <c r="G218" s="17"/>
      <c r="H218" s="17"/>
      <c r="I218" s="17"/>
      <c r="J218" s="17"/>
      <c r="K218" s="17"/>
      <c r="L218" s="17"/>
      <c r="M218" s="17"/>
      <c r="N218" s="299"/>
      <c r="O218" s="1184" t="s">
        <v>66</v>
      </c>
      <c r="V218" s="1520"/>
      <c r="W218" s="1219"/>
      <c r="X218" s="1219"/>
      <c r="Y218" s="1219"/>
      <c r="Z218" s="1219"/>
      <c r="AA218" s="1219"/>
    </row>
    <row r="219" spans="1:27">
      <c r="A219" s="55" t="s">
        <v>1483</v>
      </c>
      <c r="B219" s="1185" t="s">
        <v>33</v>
      </c>
      <c r="C219" s="1185" t="s">
        <v>67</v>
      </c>
      <c r="D219" s="2460" t="s">
        <v>859</v>
      </c>
      <c r="E219" s="2461"/>
      <c r="F219" s="2461"/>
      <c r="G219" s="2461"/>
      <c r="H219" s="2461"/>
      <c r="I219" s="2461"/>
      <c r="J219" s="2461"/>
      <c r="K219" s="2461"/>
      <c r="L219" s="2461"/>
      <c r="M219" s="2461"/>
      <c r="N219" s="2461"/>
      <c r="O219" s="2462"/>
      <c r="P219" s="1210" t="s">
        <v>69</v>
      </c>
      <c r="Q219" s="1211" t="s">
        <v>70</v>
      </c>
      <c r="R219" s="1210" t="s">
        <v>71</v>
      </c>
      <c r="S219" s="1211" t="s">
        <v>72</v>
      </c>
      <c r="T219" s="1212" t="s">
        <v>641</v>
      </c>
      <c r="U219" s="1213" t="s">
        <v>411</v>
      </c>
      <c r="V219" s="1521" t="s">
        <v>69</v>
      </c>
      <c r="W219" s="1211" t="s">
        <v>70</v>
      </c>
      <c r="X219" s="1210" t="s">
        <v>71</v>
      </c>
      <c r="Y219" s="1211" t="s">
        <v>72</v>
      </c>
      <c r="Z219" s="1212" t="s">
        <v>641</v>
      </c>
      <c r="AA219" s="1213" t="s">
        <v>411</v>
      </c>
    </row>
    <row r="220" spans="1:27">
      <c r="B220" s="922"/>
      <c r="C220" s="922"/>
      <c r="D220" s="1204">
        <v>15</v>
      </c>
      <c r="E220" s="1191">
        <v>20</v>
      </c>
      <c r="F220" s="1191">
        <v>50</v>
      </c>
      <c r="G220" s="1191">
        <v>100</v>
      </c>
      <c r="H220" s="1191">
        <v>200</v>
      </c>
      <c r="I220" s="1191">
        <v>500</v>
      </c>
      <c r="J220" s="1865">
        <v>1000</v>
      </c>
      <c r="K220" s="1865">
        <v>2000</v>
      </c>
      <c r="L220" s="1865">
        <v>5000</v>
      </c>
      <c r="M220" s="1865">
        <v>10000</v>
      </c>
      <c r="N220" s="1865">
        <v>20000</v>
      </c>
      <c r="O220" s="1865">
        <v>30000</v>
      </c>
      <c r="P220" s="1210">
        <f>IF(U220&lt;=$D$220,$D$220,INDEX($D$220:$O$220,1,MATCH(U220,$D$220:$O$220,1)))</f>
        <v>15</v>
      </c>
      <c r="Q220" s="1211">
        <f>IF(OR(U220&lt;=$D$220,U220&gt;=$O$220 ),P220,INDEX($D$220:$O$220,1,MATCH(U220,$D$220:$O$220,1)+1))</f>
        <v>15</v>
      </c>
      <c r="R220" s="1210">
        <f>INDEX($D$221:$O$225,LCT,MATCH(P220,$D$220:$O$220,1))</f>
        <v>9.8000000000000004E-2</v>
      </c>
      <c r="S220" s="1211">
        <f>INDEX($D$221:$O$225,LCT,MATCH(Q220,$D$220:$O$220,1))</f>
        <v>9.8000000000000004E-2</v>
      </c>
      <c r="T220" s="1212">
        <f>IF(R220=S220,S220,S220-(S220-R220)/(Q220-P220)*(Q220-U220))</f>
        <v>9.8000000000000004E-2</v>
      </c>
      <c r="U220" s="1213">
        <f>E5+E6</f>
        <v>0</v>
      </c>
      <c r="V220" s="1521">
        <f>IF(AA220&lt;=$D$220,$D$220,INDEX($D$220:$O$220,1,MATCH(AA220,$D$220:$O$220,1)))</f>
        <v>15</v>
      </c>
      <c r="W220" s="1211">
        <f>IF(OR(AA220&lt;=$D$220,AA220&gt;=$O$220 ),V220,INDEX($D$220:$O$220,1,MATCH(AA220,$D$220:$O$220,1)+1))</f>
        <v>15</v>
      </c>
      <c r="X220" s="1210">
        <f>INDEX($D$221:$O$225,LCT,MATCH(V220,$D$220:$O$220,1))</f>
        <v>9.8000000000000004E-2</v>
      </c>
      <c r="Y220" s="1211">
        <f>INDEX($D$221:$O$225,LCT,MATCH(W220,$D$220:$O$220,1))</f>
        <v>9.8000000000000004E-2</v>
      </c>
      <c r="Z220" s="1212">
        <f>IF(X220=Y220,Y220,Y220-(Y220-X220)/(W220-V220)*(W220-AA220))</f>
        <v>9.8000000000000004E-2</v>
      </c>
      <c r="AA220" s="1213">
        <f>E5+E6</f>
        <v>0</v>
      </c>
    </row>
    <row r="221" spans="1:27">
      <c r="B221" s="1191">
        <v>1</v>
      </c>
      <c r="C221" s="1192" t="s">
        <v>34</v>
      </c>
      <c r="D221" s="990">
        <v>7.0999999999999994E-2</v>
      </c>
      <c r="E221" s="990">
        <v>5.8999999999999997E-2</v>
      </c>
      <c r="F221" s="990">
        <v>4.8000000000000001E-2</v>
      </c>
      <c r="G221" s="990">
        <v>3.4000000000000002E-2</v>
      </c>
      <c r="H221" s="990">
        <v>2.5000000000000001E-2</v>
      </c>
      <c r="I221" s="990">
        <v>1.6E-2</v>
      </c>
      <c r="J221" s="990">
        <v>1.4E-2</v>
      </c>
      <c r="K221" s="990">
        <v>1.2E-2</v>
      </c>
      <c r="L221" s="990">
        <v>8.9999999999999993E-3</v>
      </c>
      <c r="M221" s="990">
        <v>7.0000000000000001E-3</v>
      </c>
      <c r="N221" s="990">
        <v>5.0000000000000001E-3</v>
      </c>
      <c r="O221" s="990">
        <v>4.0000000000000001E-3</v>
      </c>
      <c r="V221" s="1520"/>
      <c r="W221" s="1219"/>
      <c r="X221" s="1219"/>
      <c r="Y221" s="1219"/>
      <c r="Z221" s="1219"/>
      <c r="AA221" s="1219"/>
    </row>
    <row r="222" spans="1:27">
      <c r="B222" s="1191">
        <v>2</v>
      </c>
      <c r="C222" s="1192" t="s">
        <v>35</v>
      </c>
      <c r="D222" s="990">
        <v>9.8000000000000004E-2</v>
      </c>
      <c r="E222" s="990">
        <v>8.3000000000000004E-2</v>
      </c>
      <c r="F222" s="990">
        <v>6.7000000000000004E-2</v>
      </c>
      <c r="G222" s="990">
        <v>4.9000000000000002E-2</v>
      </c>
      <c r="H222" s="990">
        <v>3.6999999999999998E-2</v>
      </c>
      <c r="I222" s="990">
        <v>2.8000000000000001E-2</v>
      </c>
      <c r="J222" s="990">
        <v>2.5000000000000001E-2</v>
      </c>
      <c r="K222" s="990">
        <v>0.02</v>
      </c>
      <c r="L222" s="990">
        <v>1.4999999999999999E-2</v>
      </c>
      <c r="M222" s="990">
        <v>0.01</v>
      </c>
      <c r="N222" s="990">
        <v>7.0000000000000001E-3</v>
      </c>
      <c r="O222" s="990">
        <v>5.0000000000000001E-3</v>
      </c>
      <c r="V222" s="1520"/>
      <c r="W222" s="1219"/>
      <c r="X222" s="1219"/>
      <c r="Y222" s="1219"/>
      <c r="Z222" s="1219"/>
      <c r="AA222" s="1219"/>
    </row>
    <row r="223" spans="1:27">
      <c r="B223" s="1191">
        <v>3</v>
      </c>
      <c r="C223" s="1192" t="s">
        <v>36</v>
      </c>
      <c r="D223" s="990">
        <v>5.3999999999999999E-2</v>
      </c>
      <c r="E223" s="990">
        <v>4.9000000000000002E-2</v>
      </c>
      <c r="F223" s="990">
        <v>3.9E-2</v>
      </c>
      <c r="G223" s="990">
        <v>0.03</v>
      </c>
      <c r="H223" s="990">
        <v>0.02</v>
      </c>
      <c r="I223" s="990">
        <v>1.2999999999999999E-2</v>
      </c>
      <c r="J223" s="990">
        <v>1.0999999999999999E-2</v>
      </c>
      <c r="K223" s="990">
        <v>8.9999999999999993E-3</v>
      </c>
      <c r="L223" s="990">
        <v>7.0000000000000001E-3</v>
      </c>
      <c r="M223" s="990">
        <v>5.0000000000000001E-3</v>
      </c>
      <c r="N223" s="990">
        <v>4.0000000000000001E-3</v>
      </c>
      <c r="O223" s="990">
        <v>3.0000000000000001E-3</v>
      </c>
      <c r="V223" s="1520"/>
      <c r="W223" s="1219"/>
      <c r="X223" s="1219"/>
      <c r="Y223" s="1219"/>
      <c r="Z223" s="1219"/>
      <c r="AA223" s="1219"/>
    </row>
    <row r="224" spans="1:27">
      <c r="B224" s="1191">
        <v>4</v>
      </c>
      <c r="C224" s="1192" t="s">
        <v>375</v>
      </c>
      <c r="D224" s="990">
        <v>6.4000000000000001E-2</v>
      </c>
      <c r="E224" s="990">
        <v>5.8000000000000003E-2</v>
      </c>
      <c r="F224" s="990">
        <v>4.7E-2</v>
      </c>
      <c r="G224" s="990">
        <v>3.3000000000000002E-2</v>
      </c>
      <c r="H224" s="990">
        <v>2.4E-2</v>
      </c>
      <c r="I224" s="990">
        <v>1.4999999999999999E-2</v>
      </c>
      <c r="J224" s="990">
        <v>1.2999999999999999E-2</v>
      </c>
      <c r="K224" s="990">
        <v>1.0999999999999999E-2</v>
      </c>
      <c r="L224" s="990">
        <v>8.9999999999999993E-3</v>
      </c>
      <c r="M224" s="990">
        <v>6.0000000000000001E-3</v>
      </c>
      <c r="N224" s="990">
        <v>5.0000000000000001E-3</v>
      </c>
      <c r="O224" s="990">
        <v>4.0000000000000001E-3</v>
      </c>
      <c r="V224" s="1520"/>
      <c r="W224" s="1219"/>
      <c r="X224" s="1219"/>
      <c r="Y224" s="1219"/>
      <c r="Z224" s="1219"/>
      <c r="AA224" s="1219"/>
    </row>
    <row r="225" spans="1:27">
      <c r="B225" s="1191">
        <v>5</v>
      </c>
      <c r="C225" s="1192" t="s">
        <v>38</v>
      </c>
      <c r="D225" s="990">
        <v>5.6000000000000001E-2</v>
      </c>
      <c r="E225" s="990">
        <v>5.0999999999999997E-2</v>
      </c>
      <c r="F225" s="990">
        <v>4.1000000000000002E-2</v>
      </c>
      <c r="G225" s="990">
        <v>3.2000000000000001E-2</v>
      </c>
      <c r="H225" s="990">
        <v>2.1000000000000001E-2</v>
      </c>
      <c r="I225" s="990">
        <v>1.2999999999999999E-2</v>
      </c>
      <c r="J225" s="990">
        <v>1.2E-2</v>
      </c>
      <c r="K225" s="990">
        <v>0.01</v>
      </c>
      <c r="L225" s="990">
        <v>8.0000000000000002E-3</v>
      </c>
      <c r="M225" s="990">
        <v>5.0000000000000001E-3</v>
      </c>
      <c r="N225" s="990">
        <v>4.0000000000000001E-3</v>
      </c>
      <c r="O225" s="990">
        <v>3.0000000000000001E-3</v>
      </c>
      <c r="V225" s="1520"/>
      <c r="W225" s="1219"/>
      <c r="X225" s="1219"/>
      <c r="Y225" s="1219"/>
      <c r="Z225" s="1219"/>
      <c r="AA225" s="1219"/>
    </row>
    <row r="226" spans="1:27">
      <c r="B226" s="17"/>
      <c r="C226" s="17"/>
      <c r="D226" s="17"/>
      <c r="E226" s="17"/>
      <c r="F226" s="17"/>
      <c r="G226" s="17"/>
      <c r="H226" s="17"/>
      <c r="I226" s="17"/>
      <c r="J226" s="17"/>
      <c r="K226" s="17"/>
      <c r="L226" s="17"/>
      <c r="M226" s="17"/>
      <c r="N226" s="17"/>
      <c r="O226" s="17"/>
      <c r="V226" s="1520"/>
      <c r="W226" s="1219"/>
      <c r="X226" s="1219"/>
      <c r="Y226" s="1219"/>
      <c r="Z226" s="1219"/>
      <c r="AA226" s="1219"/>
    </row>
    <row r="227" spans="1:27">
      <c r="B227" s="1885" t="s">
        <v>756</v>
      </c>
      <c r="C227" s="17"/>
      <c r="D227" s="17"/>
      <c r="F227" s="17"/>
      <c r="G227" s="17"/>
      <c r="H227" s="17"/>
      <c r="I227" s="17"/>
      <c r="J227" s="17"/>
      <c r="K227" s="17"/>
      <c r="L227" s="17"/>
      <c r="M227" s="17"/>
      <c r="N227" s="17"/>
      <c r="O227" s="17"/>
      <c r="V227" s="1520"/>
      <c r="W227" s="1219"/>
      <c r="X227" s="1219"/>
      <c r="Y227" s="1219"/>
      <c r="Z227" s="1219"/>
      <c r="AA227" s="1219"/>
    </row>
    <row r="228" spans="1:27">
      <c r="C228" s="17"/>
      <c r="D228" s="17"/>
      <c r="E228" s="17"/>
      <c r="F228" s="17"/>
      <c r="G228" s="17"/>
      <c r="H228" s="17"/>
      <c r="I228" s="17"/>
      <c r="J228" s="17"/>
      <c r="K228" s="17"/>
      <c r="L228" s="17"/>
      <c r="M228" s="17"/>
      <c r="N228" s="299"/>
      <c r="O228" s="1184" t="s">
        <v>66</v>
      </c>
      <c r="V228" s="1520"/>
      <c r="W228" s="1219"/>
      <c r="X228" s="1219"/>
      <c r="Y228" s="1219"/>
      <c r="Z228" s="1219"/>
      <c r="AA228" s="1219"/>
    </row>
    <row r="229" spans="1:27">
      <c r="A229" s="55" t="s">
        <v>1483</v>
      </c>
      <c r="B229" s="1185" t="s">
        <v>33</v>
      </c>
      <c r="C229" s="1185" t="s">
        <v>67</v>
      </c>
      <c r="D229" s="2460" t="s">
        <v>859</v>
      </c>
      <c r="E229" s="2461"/>
      <c r="F229" s="2461"/>
      <c r="G229" s="2461"/>
      <c r="H229" s="2461"/>
      <c r="I229" s="2461"/>
      <c r="J229" s="2461"/>
      <c r="K229" s="2461"/>
      <c r="L229" s="2461"/>
      <c r="M229" s="2461"/>
      <c r="N229" s="2461"/>
      <c r="O229" s="2462"/>
      <c r="P229" s="1210" t="s">
        <v>69</v>
      </c>
      <c r="Q229" s="1211" t="s">
        <v>70</v>
      </c>
      <c r="R229" s="1210" t="s">
        <v>71</v>
      </c>
      <c r="S229" s="1211" t="s">
        <v>72</v>
      </c>
      <c r="T229" s="1212" t="s">
        <v>641</v>
      </c>
      <c r="U229" s="1213" t="s">
        <v>411</v>
      </c>
      <c r="V229" s="1521" t="s">
        <v>69</v>
      </c>
      <c r="W229" s="1211" t="s">
        <v>70</v>
      </c>
      <c r="X229" s="1210" t="s">
        <v>71</v>
      </c>
      <c r="Y229" s="1211" t="s">
        <v>72</v>
      </c>
      <c r="Z229" s="1212" t="s">
        <v>641</v>
      </c>
      <c r="AA229" s="1213" t="s">
        <v>411</v>
      </c>
    </row>
    <row r="230" spans="1:27">
      <c r="B230" s="922"/>
      <c r="C230" s="922"/>
      <c r="D230" s="1204">
        <v>15</v>
      </c>
      <c r="E230" s="1191">
        <v>20</v>
      </c>
      <c r="F230" s="1191">
        <v>50</v>
      </c>
      <c r="G230" s="1191">
        <v>100</v>
      </c>
      <c r="H230" s="1191">
        <v>200</v>
      </c>
      <c r="I230" s="1191">
        <v>500</v>
      </c>
      <c r="J230" s="1865">
        <v>1000</v>
      </c>
      <c r="K230" s="1865">
        <v>2000</v>
      </c>
      <c r="L230" s="1865">
        <v>5000</v>
      </c>
      <c r="M230" s="1865">
        <v>10000</v>
      </c>
      <c r="N230" s="1865">
        <v>20000</v>
      </c>
      <c r="O230" s="1865">
        <v>30000</v>
      </c>
      <c r="P230" s="1210">
        <f>IF(U230&lt;=$D$230,$D$230,INDEX($D$230:$O$230,1,MATCH(U230,$D$230:$O$230,1)))</f>
        <v>15</v>
      </c>
      <c r="Q230" s="1211">
        <f>IF(OR(U230&lt;=$D$230,U230&gt;=$O$230),P230,INDEX($D$230:$O$230,1,MATCH(U230,$D$230:$O$230,1)+1))</f>
        <v>15</v>
      </c>
      <c r="R230" s="1210">
        <f>INDEX($D$231:$O$235,LCT,MATCH(P230,$D$230:$O$230,1))</f>
        <v>0.28100000000000003</v>
      </c>
      <c r="S230" s="1211">
        <f>INDEX($D$231:$O$235,LCT,MATCH(Q230,$D$230:$O$230,1))</f>
        <v>0.28100000000000003</v>
      </c>
      <c r="T230" s="1212">
        <f>IF(R230=S230,S230,S230-(S230-R230)/(Q230-P230)*(Q230-U230))</f>
        <v>0.28100000000000003</v>
      </c>
      <c r="U230" s="1213">
        <f>E5+E6</f>
        <v>0</v>
      </c>
      <c r="V230" s="1521">
        <f>IF(AA230&lt;=$D$230,$D$230,INDEX($D$230:$O$230,1,MATCH(AA230,$D$230:$O$230,1)))</f>
        <v>15</v>
      </c>
      <c r="W230" s="1211">
        <f>IF(OR(AA230&lt;=$D$230,AA230&gt;=$O$230),V230,INDEX($D$230:$O$230,1,MATCH(AA230,$D$230:$O$230,1)+1))</f>
        <v>15</v>
      </c>
      <c r="X230" s="1210">
        <f>INDEX($D$231:$O$235,LCT,MATCH(V230,$D$230:$O$230,1))</f>
        <v>0.28100000000000003</v>
      </c>
      <c r="Y230" s="1211">
        <f>INDEX($D$231:$O$235,LCT,MATCH(W230,$D$230:$O$230,1))</f>
        <v>0.28100000000000003</v>
      </c>
      <c r="Z230" s="1212">
        <f>IF(X230=Y230,Y230,Y230-(Y230-X230)/(W230-V230)*(W230-AA230))</f>
        <v>0.28100000000000003</v>
      </c>
      <c r="AA230" s="1213">
        <f>E5+E6</f>
        <v>0</v>
      </c>
    </row>
    <row r="231" spans="1:27">
      <c r="B231" s="1191">
        <v>1</v>
      </c>
      <c r="C231" s="1192" t="s">
        <v>34</v>
      </c>
      <c r="D231" s="990">
        <v>0.20399999999999999</v>
      </c>
      <c r="E231" s="990">
        <v>0.16800000000000001</v>
      </c>
      <c r="F231" s="990">
        <v>0.13800000000000001</v>
      </c>
      <c r="G231" s="990">
        <v>9.7000000000000003E-2</v>
      </c>
      <c r="H231" s="990">
        <v>7.0000000000000007E-2</v>
      </c>
      <c r="I231" s="990">
        <v>4.5999999999999999E-2</v>
      </c>
      <c r="J231" s="990">
        <v>4.1000000000000002E-2</v>
      </c>
      <c r="K231" s="990">
        <v>3.4000000000000002E-2</v>
      </c>
      <c r="L231" s="990">
        <v>2.5999999999999999E-2</v>
      </c>
      <c r="M231" s="990">
        <v>1.9E-2</v>
      </c>
      <c r="N231" s="990">
        <v>1.4999999999999999E-2</v>
      </c>
      <c r="O231" s="1257">
        <v>1.2E-2</v>
      </c>
      <c r="V231" s="1520"/>
      <c r="W231" s="1219"/>
      <c r="X231" s="1219"/>
      <c r="Y231" s="1219"/>
      <c r="Z231" s="1219"/>
      <c r="AA231" s="1219"/>
    </row>
    <row r="232" spans="1:27">
      <c r="B232" s="1191">
        <v>2</v>
      </c>
      <c r="C232" s="1192" t="s">
        <v>35</v>
      </c>
      <c r="D232" s="990">
        <v>0.28100000000000003</v>
      </c>
      <c r="E232" s="990">
        <v>0.23799999999999999</v>
      </c>
      <c r="F232" s="990">
        <v>0.19</v>
      </c>
      <c r="G232" s="990">
        <v>0.14099999999999999</v>
      </c>
      <c r="H232" s="990">
        <v>0.107</v>
      </c>
      <c r="I232" s="990">
        <v>8.0000000000013005E-2</v>
      </c>
      <c r="J232" s="990">
        <v>7.0000000000000007E-2</v>
      </c>
      <c r="K232" s="990">
        <v>5.6000000000000001E-2</v>
      </c>
      <c r="L232" s="990">
        <v>4.3999999999999997E-2</v>
      </c>
      <c r="M232" s="990">
        <v>2.9000000000000001E-2</v>
      </c>
      <c r="N232" s="990">
        <v>0.02</v>
      </c>
      <c r="O232" s="1257">
        <v>1.4999999999999999E-2</v>
      </c>
      <c r="V232" s="1520"/>
      <c r="W232" s="1219"/>
      <c r="X232" s="1219"/>
      <c r="Y232" s="1219"/>
      <c r="Z232" s="1219"/>
      <c r="AA232" s="1219"/>
    </row>
    <row r="233" spans="1:27">
      <c r="B233" s="1191">
        <v>3</v>
      </c>
      <c r="C233" s="1192" t="s">
        <v>36</v>
      </c>
      <c r="D233" s="990">
        <v>0.153</v>
      </c>
      <c r="E233" s="990">
        <v>0.13900000000000001</v>
      </c>
      <c r="F233" s="990">
        <v>0.112</v>
      </c>
      <c r="G233" s="990">
        <v>8.6999999999999994E-2</v>
      </c>
      <c r="H233" s="990">
        <v>5.8000000000000003E-2</v>
      </c>
      <c r="I233" s="990">
        <v>3.5999999999999997E-2</v>
      </c>
      <c r="J233" s="990">
        <v>3.2000000000000001E-2</v>
      </c>
      <c r="K233" s="990">
        <v>2.5999999999999999E-2</v>
      </c>
      <c r="L233" s="990">
        <v>0.02</v>
      </c>
      <c r="M233" s="990">
        <v>1.4E-2</v>
      </c>
      <c r="N233" s="990">
        <v>0.01</v>
      </c>
      <c r="O233" s="1257">
        <v>8.9999999999999993E-3</v>
      </c>
      <c r="V233" s="1520"/>
      <c r="W233" s="1219"/>
      <c r="X233" s="1219"/>
      <c r="Y233" s="1219"/>
      <c r="Z233" s="1219"/>
      <c r="AA233" s="1219"/>
    </row>
    <row r="234" spans="1:27">
      <c r="B234" s="1191">
        <v>4</v>
      </c>
      <c r="C234" s="1192" t="s">
        <v>375</v>
      </c>
      <c r="D234" s="990">
        <v>0.182</v>
      </c>
      <c r="E234" s="990">
        <v>0.16700000000000001</v>
      </c>
      <c r="F234" s="990">
        <v>0.13300000000000001</v>
      </c>
      <c r="G234" s="990">
        <v>9.4E-2</v>
      </c>
      <c r="H234" s="990">
        <v>6.8000000000000005E-2</v>
      </c>
      <c r="I234" s="990">
        <v>4.3999999999999997E-2</v>
      </c>
      <c r="J234" s="990">
        <v>3.6999999999999998E-2</v>
      </c>
      <c r="K234" s="990">
        <v>3.2000000000000001E-2</v>
      </c>
      <c r="L234" s="990">
        <v>2.5999999999999999E-2</v>
      </c>
      <c r="M234" s="990">
        <v>1.7000000000000001E-2</v>
      </c>
      <c r="N234" s="990">
        <v>1.4E-2</v>
      </c>
      <c r="O234" s="1257">
        <v>0.01</v>
      </c>
      <c r="V234" s="1520"/>
      <c r="W234" s="1219"/>
      <c r="X234" s="1219"/>
      <c r="Y234" s="1219"/>
      <c r="Z234" s="1219"/>
      <c r="AA234" s="1219"/>
    </row>
    <row r="235" spans="1:27">
      <c r="B235" s="1191">
        <v>5</v>
      </c>
      <c r="C235" s="1192" t="s">
        <v>38</v>
      </c>
      <c r="D235" s="990">
        <v>0.16</v>
      </c>
      <c r="E235" s="990">
        <v>0.14499999999999999</v>
      </c>
      <c r="F235" s="990">
        <v>0.11600000000000001</v>
      </c>
      <c r="G235" s="990">
        <v>9.1999999999999998E-2</v>
      </c>
      <c r="H235" s="990">
        <v>0.06</v>
      </c>
      <c r="I235" s="990">
        <v>3.6999999999999998E-2</v>
      </c>
      <c r="J235" s="990">
        <v>3.4000000000000002E-2</v>
      </c>
      <c r="K235" s="990">
        <v>2.9000000000000001E-2</v>
      </c>
      <c r="L235" s="990">
        <v>2.1999999999999999E-2</v>
      </c>
      <c r="M235" s="990">
        <v>1.4999999999999999E-2</v>
      </c>
      <c r="N235" s="990">
        <v>0.01</v>
      </c>
      <c r="O235" s="1257">
        <v>8.9999999999999993E-3</v>
      </c>
      <c r="V235" s="1520"/>
      <c r="W235" s="1219"/>
      <c r="X235" s="1219"/>
      <c r="Y235" s="1219"/>
      <c r="Z235" s="1219"/>
      <c r="AA235" s="1219"/>
    </row>
    <row r="236" spans="1:27">
      <c r="B236" s="17"/>
      <c r="C236" s="17"/>
      <c r="D236" s="17"/>
      <c r="E236" s="17"/>
      <c r="F236" s="17"/>
      <c r="G236" s="17"/>
      <c r="H236" s="17"/>
      <c r="I236" s="17"/>
      <c r="J236" s="17"/>
      <c r="K236" s="17"/>
      <c r="L236" s="17"/>
      <c r="M236" s="17"/>
      <c r="N236" s="17"/>
      <c r="O236" s="17"/>
      <c r="V236" s="1520"/>
      <c r="W236" s="1219"/>
      <c r="X236" s="1219"/>
      <c r="Y236" s="1219"/>
      <c r="Z236" s="1219"/>
      <c r="AA236" s="1219"/>
    </row>
    <row r="237" spans="1:27">
      <c r="B237" s="1885" t="s">
        <v>757</v>
      </c>
      <c r="C237" s="17"/>
      <c r="D237" s="17"/>
      <c r="E237" s="17"/>
      <c r="F237" s="17"/>
      <c r="G237" s="17"/>
      <c r="H237" s="17"/>
      <c r="I237" s="17"/>
      <c r="J237" s="17"/>
      <c r="K237" s="17"/>
      <c r="L237" s="17"/>
      <c r="M237" s="17"/>
      <c r="N237" s="17"/>
      <c r="O237" s="17"/>
      <c r="V237" s="1520"/>
      <c r="W237" s="1219"/>
      <c r="X237" s="1219"/>
      <c r="Y237" s="1219"/>
      <c r="Z237" s="1219"/>
      <c r="AA237" s="1219"/>
    </row>
    <row r="238" spans="1:27">
      <c r="C238" s="17"/>
      <c r="D238" s="17"/>
      <c r="E238" s="17"/>
      <c r="F238" s="17"/>
      <c r="G238" s="17"/>
      <c r="H238" s="17"/>
      <c r="I238" s="17"/>
      <c r="J238" s="17"/>
      <c r="K238" s="17"/>
      <c r="L238" s="17"/>
      <c r="N238" s="1184" t="s">
        <v>66</v>
      </c>
      <c r="O238" s="17"/>
      <c r="V238" s="1520"/>
      <c r="W238" s="1219"/>
      <c r="X238" s="1219"/>
      <c r="Y238" s="1219"/>
      <c r="Z238" s="1219"/>
      <c r="AA238" s="1219"/>
    </row>
    <row r="239" spans="1:27">
      <c r="A239" s="55" t="s">
        <v>1483</v>
      </c>
      <c r="B239" s="1185" t="s">
        <v>33</v>
      </c>
      <c r="C239" s="1185" t="s">
        <v>67</v>
      </c>
      <c r="D239" s="1198" t="s">
        <v>860</v>
      </c>
      <c r="E239" s="1199"/>
      <c r="F239" s="1199"/>
      <c r="G239" s="1199"/>
      <c r="H239" s="1199"/>
      <c r="I239" s="1199"/>
      <c r="J239" s="1199"/>
      <c r="K239" s="1199"/>
      <c r="L239" s="1199"/>
      <c r="M239" s="1200"/>
      <c r="N239" s="1200"/>
      <c r="O239" s="17"/>
      <c r="P239" s="1210" t="s">
        <v>69</v>
      </c>
      <c r="Q239" s="1211" t="s">
        <v>70</v>
      </c>
      <c r="R239" s="1210" t="s">
        <v>71</v>
      </c>
      <c r="S239" s="1211" t="s">
        <v>72</v>
      </c>
      <c r="T239" s="1212" t="s">
        <v>641</v>
      </c>
      <c r="U239" s="1213" t="s">
        <v>411</v>
      </c>
      <c r="V239" s="1521" t="s">
        <v>69</v>
      </c>
      <c r="W239" s="1211" t="s">
        <v>70</v>
      </c>
      <c r="X239" s="1210" t="s">
        <v>71</v>
      </c>
      <c r="Y239" s="1211" t="s">
        <v>72</v>
      </c>
      <c r="Z239" s="1212" t="s">
        <v>641</v>
      </c>
      <c r="AA239" s="1213" t="s">
        <v>411</v>
      </c>
    </row>
    <row r="240" spans="1:27">
      <c r="B240" s="922"/>
      <c r="C240" s="1189"/>
      <c r="D240" s="1204">
        <v>10</v>
      </c>
      <c r="E240" s="1191">
        <v>20</v>
      </c>
      <c r="F240" s="1191">
        <v>50</v>
      </c>
      <c r="G240" s="1191">
        <v>100</v>
      </c>
      <c r="H240" s="1191">
        <v>200</v>
      </c>
      <c r="I240" s="1191">
        <v>500</v>
      </c>
      <c r="J240" s="1865">
        <v>1000</v>
      </c>
      <c r="K240" s="1865">
        <v>2000</v>
      </c>
      <c r="L240" s="1865">
        <v>5000</v>
      </c>
      <c r="M240" s="1865">
        <v>8000</v>
      </c>
      <c r="N240" s="1865">
        <v>10000</v>
      </c>
      <c r="O240" s="17"/>
      <c r="P240" s="1210">
        <f>IF(U240&lt;=$D$240,$D$240,INDEX($D$240:$N$240,1,MATCH(U240,$D$240:$N$240,1)))</f>
        <v>10</v>
      </c>
      <c r="Q240" s="1211">
        <f>IF(OR(U240&lt;=$D$240,U240&gt;=$N$240 ),P240,INDEX($D$240:$N$240,1,MATCH(U240,$D$240:$N$240,1)+1))</f>
        <v>10</v>
      </c>
      <c r="R240" s="1210">
        <f>INDEX($D$241:$N$245,LCT,MATCH(P240,$D$240:$N$240,1))</f>
        <v>0.28999999999999998</v>
      </c>
      <c r="S240" s="1211">
        <f>INDEX($D$241:$N$245,LCT,MATCH(Q240,$D$240:$N$240,1))</f>
        <v>0.28999999999999998</v>
      </c>
      <c r="T240" s="1212">
        <f>IF(R240=S240,S240,S240-(S240-R240)/(Q240-P240)*(Q240-U240))</f>
        <v>0.28999999999999998</v>
      </c>
      <c r="U240" s="1213">
        <f>IF(D4=3,D5,E5)</f>
        <v>0</v>
      </c>
      <c r="V240" s="1521">
        <f>IF(AA240&lt;=$D$240,$D$240,INDEX($D$240:$N$240,1,MATCH(AA240,$D$240:$N$240,1)))</f>
        <v>10</v>
      </c>
      <c r="W240" s="1211">
        <f>IF(OR(AA240&lt;=$D$240,AA240&gt;=$N$240 ),V240,INDEX($D$240:$N$240,1,MATCH(AA240,$D$240:$N$240,1)+1))</f>
        <v>10</v>
      </c>
      <c r="X240" s="1210">
        <f>INDEX($D$241:$N$245,LCT,MATCH(V240,$D$240:$N$240,1))</f>
        <v>0.28999999999999998</v>
      </c>
      <c r="Y240" s="1211">
        <f>INDEX($D$241:$N$245,LCT,MATCH(W240,$D$240:$N$240,1))</f>
        <v>0.28999999999999998</v>
      </c>
      <c r="Z240" s="1212">
        <f>IF(X240=Y240,Y240,Y240-(Y240-X240)/(W240-V240)*(W240-AA240))</f>
        <v>0.28999999999999998</v>
      </c>
      <c r="AA240" s="1213">
        <f>IF(D4=3,D5,E5)</f>
        <v>0</v>
      </c>
    </row>
    <row r="241" spans="1:27">
      <c r="B241" s="1191">
        <v>1</v>
      </c>
      <c r="C241" s="1192" t="s">
        <v>34</v>
      </c>
      <c r="D241" s="990">
        <v>0.25800000000000001</v>
      </c>
      <c r="E241" s="990">
        <v>0.223</v>
      </c>
      <c r="F241" s="990">
        <v>0.17199999999999999</v>
      </c>
      <c r="G241" s="990">
        <v>0.14299999999999999</v>
      </c>
      <c r="H241" s="990">
        <v>0.108</v>
      </c>
      <c r="I241" s="990">
        <v>8.3000000000000004E-2</v>
      </c>
      <c r="J241" s="990">
        <v>6.8000000000000005E-2</v>
      </c>
      <c r="K241" s="990">
        <v>4.3999999999999997E-2</v>
      </c>
      <c r="L241" s="990">
        <v>3.3000000000000002E-2</v>
      </c>
      <c r="M241" s="990">
        <v>2.8000000000000001E-2</v>
      </c>
      <c r="N241" s="990">
        <v>2.5999999999999999E-2</v>
      </c>
      <c r="O241" s="17"/>
      <c r="V241" s="1520"/>
      <c r="W241" s="1219"/>
      <c r="X241" s="1219"/>
      <c r="Y241" s="1219"/>
      <c r="Z241" s="1219"/>
      <c r="AA241" s="1219"/>
    </row>
    <row r="242" spans="1:27">
      <c r="B242" s="1191">
        <v>2</v>
      </c>
      <c r="C242" s="1192" t="s">
        <v>35</v>
      </c>
      <c r="D242" s="990">
        <v>0.28999999999999998</v>
      </c>
      <c r="E242" s="990">
        <v>0.252</v>
      </c>
      <c r="F242" s="990">
        <v>0.192</v>
      </c>
      <c r="G242" s="990">
        <v>0.14599999999999999</v>
      </c>
      <c r="H242" s="990">
        <v>0.113000000000001</v>
      </c>
      <c r="I242" s="990">
        <v>8.6999999999999994E-2</v>
      </c>
      <c r="J242" s="990">
        <v>6.6000000000000003E-2</v>
      </c>
      <c r="K242" s="990">
        <v>5.2999999999999999E-2</v>
      </c>
      <c r="L242" s="990">
        <v>3.7999999999999999E-2</v>
      </c>
      <c r="M242" s="990">
        <v>3.1E-2</v>
      </c>
      <c r="N242" s="990">
        <v>2.8000000000000001E-2</v>
      </c>
      <c r="O242" s="17"/>
      <c r="V242" s="1520"/>
      <c r="W242" s="1219"/>
      <c r="X242" s="1219"/>
      <c r="Y242" s="1219"/>
      <c r="Z242" s="1219"/>
      <c r="AA242" s="1219"/>
    </row>
    <row r="243" spans="1:27">
      <c r="B243" s="1191">
        <v>3</v>
      </c>
      <c r="C243" s="1192" t="s">
        <v>36</v>
      </c>
      <c r="D243" s="990">
        <v>0.17</v>
      </c>
      <c r="E243" s="990">
        <v>0.14699999999999999</v>
      </c>
      <c r="F243" s="990">
        <v>0.113</v>
      </c>
      <c r="G243" s="990">
        <v>8.4000000000000005E-2</v>
      </c>
      <c r="H243" s="990">
        <v>7.2999999999999995E-2</v>
      </c>
      <c r="I243" s="990">
        <v>5.5E-2</v>
      </c>
      <c r="J243" s="990">
        <v>4.2000000000000003E-2</v>
      </c>
      <c r="K243" s="990">
        <v>3.5000000000000003E-2</v>
      </c>
      <c r="L243" s="990">
        <v>2.4E-2</v>
      </c>
      <c r="M243" s="990">
        <v>0.02</v>
      </c>
      <c r="N243" s="990">
        <v>1.7000000000000001E-2</v>
      </c>
      <c r="O243" s="17"/>
      <c r="V243" s="1520"/>
      <c r="W243" s="1219"/>
      <c r="X243" s="1219"/>
      <c r="Y243" s="1219"/>
      <c r="Z243" s="1219"/>
      <c r="AA243" s="1219"/>
    </row>
    <row r="244" spans="1:27">
      <c r="B244" s="1191">
        <v>4</v>
      </c>
      <c r="C244" s="1192" t="s">
        <v>375</v>
      </c>
      <c r="D244" s="990">
        <v>0.189</v>
      </c>
      <c r="E244" s="990">
        <v>0.16300000000000001</v>
      </c>
      <c r="F244" s="990">
        <v>0.125</v>
      </c>
      <c r="G244" s="990">
        <v>9.2999999999999999E-2</v>
      </c>
      <c r="H244" s="990">
        <v>7.2999999999999995E-2</v>
      </c>
      <c r="I244" s="990">
        <v>5.6000000000000001E-2</v>
      </c>
      <c r="J244" s="990">
        <v>4.2999999999999997E-2</v>
      </c>
      <c r="K244" s="990">
        <v>3.5000000000000003E-2</v>
      </c>
      <c r="L244" s="990">
        <v>2.5999999999999999E-2</v>
      </c>
      <c r="M244" s="990">
        <v>2.1999999999999999E-2</v>
      </c>
      <c r="N244" s="990">
        <v>1.9E-2</v>
      </c>
      <c r="O244" s="17"/>
      <c r="V244" s="1520"/>
      <c r="W244" s="1219"/>
      <c r="X244" s="1219"/>
      <c r="Y244" s="1219"/>
      <c r="Z244" s="1219"/>
      <c r="AA244" s="1219"/>
    </row>
    <row r="245" spans="1:27">
      <c r="B245" s="1191">
        <v>5</v>
      </c>
      <c r="C245" s="1192" t="s">
        <v>38</v>
      </c>
      <c r="D245" s="990">
        <v>0.19700000000000001</v>
      </c>
      <c r="E245" s="990">
        <v>0.17199999999999999</v>
      </c>
      <c r="F245" s="990">
        <v>0.13300000000000001</v>
      </c>
      <c r="G245" s="990">
        <v>9.9000000000000005E-2</v>
      </c>
      <c r="H245" s="990">
        <v>7.5999999999999998E-2</v>
      </c>
      <c r="I245" s="990">
        <v>5.8999999999999997E-2</v>
      </c>
      <c r="J245" s="990">
        <v>4.5999999999999999E-2</v>
      </c>
      <c r="K245" s="990">
        <v>0.04</v>
      </c>
      <c r="L245" s="990">
        <v>2.9000000000000001E-2</v>
      </c>
      <c r="M245" s="990">
        <v>2.4E-2</v>
      </c>
      <c r="N245" s="990">
        <v>2.1000000000000001E-2</v>
      </c>
      <c r="O245" s="17"/>
      <c r="V245" s="1520"/>
      <c r="W245" s="1219"/>
      <c r="X245" s="1219"/>
      <c r="Y245" s="1219"/>
      <c r="Z245" s="1219"/>
      <c r="AA245" s="1219"/>
    </row>
    <row r="246" spans="1:27">
      <c r="B246" s="17"/>
      <c r="C246" s="17"/>
      <c r="D246" s="17"/>
      <c r="E246" s="17"/>
      <c r="F246" s="17"/>
      <c r="G246" s="17"/>
      <c r="H246" s="17"/>
      <c r="I246" s="17"/>
      <c r="J246" s="17"/>
      <c r="K246" s="17"/>
      <c r="L246" s="17"/>
      <c r="M246" s="17"/>
      <c r="N246" s="17"/>
      <c r="O246" s="17"/>
      <c r="V246" s="1520"/>
      <c r="W246" s="1219"/>
      <c r="X246" s="1219"/>
      <c r="Y246" s="1219"/>
      <c r="Z246" s="1219"/>
      <c r="AA246" s="1219"/>
    </row>
    <row r="247" spans="1:27">
      <c r="B247" s="1885" t="s">
        <v>758</v>
      </c>
      <c r="D247" s="17"/>
      <c r="E247" s="17"/>
      <c r="F247" s="17"/>
      <c r="G247" s="17"/>
      <c r="H247" s="17"/>
      <c r="I247" s="17"/>
      <c r="J247" s="17"/>
      <c r="K247" s="17"/>
      <c r="L247" s="17"/>
      <c r="M247" s="17"/>
      <c r="N247" s="17"/>
      <c r="O247" s="17"/>
      <c r="V247" s="1520"/>
      <c r="W247" s="1219"/>
      <c r="X247" s="1219"/>
      <c r="Y247" s="1219"/>
      <c r="Z247" s="1219"/>
      <c r="AA247" s="1219"/>
    </row>
    <row r="248" spans="1:27">
      <c r="C248" s="17"/>
      <c r="D248" s="17"/>
      <c r="E248" s="17"/>
      <c r="F248" s="17"/>
      <c r="G248" s="17"/>
      <c r="H248" s="17"/>
      <c r="I248" s="17"/>
      <c r="J248" s="17"/>
      <c r="K248" s="17"/>
      <c r="L248" s="17"/>
      <c r="N248" s="1184" t="s">
        <v>66</v>
      </c>
      <c r="O248" s="17"/>
      <c r="V248" s="1520"/>
      <c r="W248" s="1219"/>
      <c r="X248" s="1219"/>
      <c r="Y248" s="1219"/>
      <c r="Z248" s="1219"/>
      <c r="AA248" s="1219"/>
    </row>
    <row r="249" spans="1:27">
      <c r="A249" s="55" t="s">
        <v>1483</v>
      </c>
      <c r="B249" s="1185" t="s">
        <v>33</v>
      </c>
      <c r="C249" s="1185" t="s">
        <v>67</v>
      </c>
      <c r="D249" s="1198" t="s">
        <v>860</v>
      </c>
      <c r="E249" s="1199"/>
      <c r="F249" s="1199"/>
      <c r="G249" s="1199"/>
      <c r="H249" s="1199"/>
      <c r="I249" s="1199"/>
      <c r="J249" s="1199"/>
      <c r="K249" s="1199"/>
      <c r="L249" s="1199"/>
      <c r="M249" s="1200"/>
      <c r="N249" s="1200"/>
      <c r="O249" s="17"/>
      <c r="P249" s="1210" t="s">
        <v>69</v>
      </c>
      <c r="Q249" s="1211" t="s">
        <v>70</v>
      </c>
      <c r="R249" s="1210" t="s">
        <v>71</v>
      </c>
      <c r="S249" s="1211" t="s">
        <v>72</v>
      </c>
      <c r="T249" s="1212" t="s">
        <v>641</v>
      </c>
      <c r="U249" s="1213" t="s">
        <v>411</v>
      </c>
      <c r="V249" s="1521" t="s">
        <v>69</v>
      </c>
      <c r="W249" s="1211" t="s">
        <v>70</v>
      </c>
      <c r="X249" s="1210" t="s">
        <v>71</v>
      </c>
      <c r="Y249" s="1211" t="s">
        <v>72</v>
      </c>
      <c r="Z249" s="1212" t="s">
        <v>641</v>
      </c>
      <c r="AA249" s="1213" t="s">
        <v>411</v>
      </c>
    </row>
    <row r="250" spans="1:27">
      <c r="B250" s="922"/>
      <c r="C250" s="1189"/>
      <c r="D250" s="1204">
        <v>10</v>
      </c>
      <c r="E250" s="1191">
        <v>20</v>
      </c>
      <c r="F250" s="1191">
        <v>50</v>
      </c>
      <c r="G250" s="1191">
        <v>100</v>
      </c>
      <c r="H250" s="1191">
        <v>200</v>
      </c>
      <c r="I250" s="1191">
        <v>500</v>
      </c>
      <c r="J250" s="1865">
        <v>1000</v>
      </c>
      <c r="K250" s="1865">
        <v>2000</v>
      </c>
      <c r="L250" s="1865">
        <v>5000</v>
      </c>
      <c r="M250" s="1865">
        <v>8000</v>
      </c>
      <c r="N250" s="1865">
        <v>10000</v>
      </c>
      <c r="O250" s="17"/>
      <c r="P250" s="1210">
        <f>IF(U250&lt;=$D$250,$D$250,INDEX($D$250:$N$250,1,MATCH(U250,$D$250:$N$250,1)))</f>
        <v>10</v>
      </c>
      <c r="Q250" s="1211">
        <f>IF(OR(U250&lt;=$D$250,U250&gt;=$N$250 ),P250,INDEX($D$250:$N$250,1,MATCH(U250,$D$250:$N$250,1)+1))</f>
        <v>10</v>
      </c>
      <c r="R250" s="1210">
        <f>INDEX($D$251:$N$255,LCT,MATCH(P250,$D$250:$N$250,1))</f>
        <v>0.28199999999999997</v>
      </c>
      <c r="S250" s="1211">
        <f>INDEX($D$251:$N$255,LCT,MATCH(Q250,$D$250:$N$250,1))</f>
        <v>0.28199999999999997</v>
      </c>
      <c r="T250" s="1212">
        <f>IF(R250=S250,S250,S250-(S250-R250)/(Q250-P250)*(Q250-U250))</f>
        <v>0.28199999999999997</v>
      </c>
      <c r="U250" s="1213">
        <f>IF(D4=3,D5,E5)</f>
        <v>0</v>
      </c>
      <c r="V250" s="1521">
        <f>IF(AA250&lt;=$D$250,$D$250,INDEX($D$250:$N$250,1,MATCH(AA250,$D$250:$N$250,1)))</f>
        <v>10</v>
      </c>
      <c r="W250" s="1211">
        <f>IF(OR(AA250&lt;=$D$250,AA250&gt;=$N$250 ),V250,INDEX($D$250:$N$250,1,MATCH(AA250,$D$250:$N$250,1)+1))</f>
        <v>10</v>
      </c>
      <c r="X250" s="1210">
        <f>INDEX($D$251:$N$255,LCT,MATCH(V250,$D$250:$N$250,1))</f>
        <v>0.28199999999999997</v>
      </c>
      <c r="Y250" s="1211">
        <f>INDEX($D$251:$N$255,LCT,MATCH(W250,$D$250:$N$250,1))</f>
        <v>0.28199999999999997</v>
      </c>
      <c r="Z250" s="1212">
        <f>IF(X250=Y250,Y250,Y250-(Y250-X250)/(W250-V250)*(W250-AA250))</f>
        <v>0.28199999999999997</v>
      </c>
      <c r="AA250" s="1213">
        <f>IF(D4=3,D5,E5)</f>
        <v>0</v>
      </c>
    </row>
    <row r="251" spans="1:27">
      <c r="B251" s="1191">
        <v>1</v>
      </c>
      <c r="C251" s="1192" t="s">
        <v>34</v>
      </c>
      <c r="D251" s="990">
        <v>0.25</v>
      </c>
      <c r="E251" s="990">
        <v>0.219</v>
      </c>
      <c r="F251" s="990">
        <v>0.16600000000000001</v>
      </c>
      <c r="G251" s="990">
        <v>0.14000000000000001</v>
      </c>
      <c r="H251" s="990">
        <v>0.105</v>
      </c>
      <c r="I251" s="990">
        <v>7.6999999999999999E-2</v>
      </c>
      <c r="J251" s="990">
        <v>6.4000000000000001E-2</v>
      </c>
      <c r="K251" s="990">
        <v>4.2999999999999997E-2</v>
      </c>
      <c r="L251" s="990">
        <v>3.2000000000000001E-2</v>
      </c>
      <c r="M251" s="990">
        <v>2.7E-2</v>
      </c>
      <c r="N251" s="990">
        <v>2.5000000000000001E-2</v>
      </c>
      <c r="O251" s="17"/>
      <c r="V251" s="1520"/>
      <c r="W251" s="1219"/>
      <c r="X251" s="1219"/>
      <c r="Y251" s="1219"/>
      <c r="Z251" s="1219"/>
      <c r="AA251" s="1219"/>
    </row>
    <row r="252" spans="1:27">
      <c r="B252" s="1191">
        <v>2</v>
      </c>
      <c r="C252" s="1192" t="s">
        <v>35</v>
      </c>
      <c r="D252" s="990">
        <v>0.28199999999999997</v>
      </c>
      <c r="E252" s="990">
        <v>0.24399999999999999</v>
      </c>
      <c r="F252" s="990">
        <v>0.185</v>
      </c>
      <c r="G252" s="990">
        <v>0.14099999999999999</v>
      </c>
      <c r="H252" s="990">
        <v>0.108</v>
      </c>
      <c r="I252" s="990">
        <v>8.3000000000000004E-2</v>
      </c>
      <c r="J252" s="990">
        <v>6.2E-2</v>
      </c>
      <c r="K252" s="990">
        <v>0.05</v>
      </c>
      <c r="L252" s="990">
        <v>3.4000000000000002E-2</v>
      </c>
      <c r="M252" s="990">
        <v>0.03</v>
      </c>
      <c r="N252" s="990">
        <v>2.7E-2</v>
      </c>
      <c r="O252" s="17"/>
      <c r="V252" s="1520"/>
      <c r="W252" s="1219"/>
      <c r="X252" s="1219"/>
      <c r="Y252" s="1219"/>
      <c r="Z252" s="1219"/>
      <c r="AA252" s="1219"/>
    </row>
    <row r="253" spans="1:27">
      <c r="B253" s="1191">
        <v>3</v>
      </c>
      <c r="C253" s="1192" t="s">
        <v>36</v>
      </c>
      <c r="D253" s="990">
        <v>0.16600000000000001</v>
      </c>
      <c r="E253" s="990">
        <v>0.14199999999999999</v>
      </c>
      <c r="F253" s="990">
        <v>0.106</v>
      </c>
      <c r="G253" s="990">
        <v>8.2000000000000003E-2</v>
      </c>
      <c r="H253" s="990">
        <v>6.9000000000000006E-2</v>
      </c>
      <c r="I253" s="990">
        <v>5.1999999999999998E-2</v>
      </c>
      <c r="J253" s="990">
        <v>4.1000000000000002E-2</v>
      </c>
      <c r="K253" s="990">
        <v>3.4000000000000002E-2</v>
      </c>
      <c r="L253" s="990">
        <v>2.1000000000000001E-2</v>
      </c>
      <c r="M253" s="990">
        <v>1.7999999999999999E-2</v>
      </c>
      <c r="N253" s="990">
        <v>1.6E-2</v>
      </c>
      <c r="O253" s="17"/>
      <c r="V253" s="1520"/>
      <c r="W253" s="1219"/>
      <c r="X253" s="1219"/>
      <c r="Y253" s="1219"/>
      <c r="Z253" s="1219"/>
      <c r="AA253" s="1219"/>
    </row>
    <row r="254" spans="1:27">
      <c r="B254" s="1191">
        <v>4</v>
      </c>
      <c r="C254" s="1192" t="s">
        <v>375</v>
      </c>
      <c r="D254" s="990">
        <v>0.183</v>
      </c>
      <c r="E254" s="990">
        <v>0.158</v>
      </c>
      <c r="F254" s="990">
        <v>0.11899999999999999</v>
      </c>
      <c r="G254" s="990">
        <v>9.1999999999999998E-2</v>
      </c>
      <c r="H254" s="990">
        <v>7.0000000000000007E-2</v>
      </c>
      <c r="I254" s="990">
        <v>5.2999999999999999E-2</v>
      </c>
      <c r="J254" s="990">
        <v>0.04</v>
      </c>
      <c r="K254" s="990">
        <v>3.4000000000000002E-2</v>
      </c>
      <c r="L254" s="990">
        <v>2.4E-2</v>
      </c>
      <c r="M254" s="990">
        <v>2.1000000000000001E-2</v>
      </c>
      <c r="N254" s="990">
        <v>1.7999999999999999E-2</v>
      </c>
      <c r="O254" s="17"/>
      <c r="V254" s="1520"/>
      <c r="W254" s="1219"/>
      <c r="X254" s="1219"/>
      <c r="Y254" s="1219"/>
      <c r="Z254" s="1219"/>
      <c r="AA254" s="1219"/>
    </row>
    <row r="255" spans="1:27">
      <c r="B255" s="1191">
        <v>5</v>
      </c>
      <c r="C255" s="1192" t="s">
        <v>38</v>
      </c>
      <c r="D255" s="990">
        <v>0.191</v>
      </c>
      <c r="E255" s="990">
        <v>0.16600000000000001</v>
      </c>
      <c r="F255" s="990">
        <v>0.128</v>
      </c>
      <c r="G255" s="990">
        <v>9.5000000000000001E-2</v>
      </c>
      <c r="H255" s="990">
        <v>7.1999999999999995E-2</v>
      </c>
      <c r="I255" s="990">
        <v>5.6000000000000001E-2</v>
      </c>
      <c r="J255" s="990">
        <v>4.3999999999999997E-2</v>
      </c>
      <c r="K255" s="990">
        <v>3.6999999999999998E-2</v>
      </c>
      <c r="L255" s="990">
        <v>2.5999999999999999E-2</v>
      </c>
      <c r="M255" s="990">
        <v>2.1999999999999999E-2</v>
      </c>
      <c r="N255" s="990">
        <v>0.02</v>
      </c>
      <c r="O255" s="17"/>
      <c r="V255" s="1520"/>
      <c r="W255" s="1219"/>
      <c r="X255" s="1219"/>
      <c r="Y255" s="1219"/>
      <c r="Z255" s="1219"/>
      <c r="AA255" s="1219"/>
    </row>
    <row r="256" spans="1:27">
      <c r="B256" s="17"/>
      <c r="C256" s="17"/>
      <c r="D256" s="17"/>
      <c r="E256" s="17"/>
      <c r="F256" s="17"/>
      <c r="G256" s="17"/>
      <c r="H256" s="17"/>
      <c r="I256" s="17"/>
      <c r="J256" s="17"/>
      <c r="K256" s="17"/>
      <c r="L256" s="17"/>
      <c r="M256" s="17"/>
      <c r="N256" s="17"/>
      <c r="O256" s="17"/>
      <c r="V256" s="1520"/>
      <c r="W256" s="1219"/>
      <c r="X256" s="1219"/>
      <c r="Y256" s="1219"/>
      <c r="Z256" s="1219"/>
      <c r="AA256" s="1219"/>
    </row>
    <row r="257" spans="1:27">
      <c r="B257" s="1885" t="s">
        <v>759</v>
      </c>
      <c r="C257" s="17"/>
      <c r="D257" s="17"/>
      <c r="E257" s="17"/>
      <c r="F257" s="17"/>
      <c r="G257" s="17"/>
      <c r="H257" s="17"/>
      <c r="I257" s="17"/>
      <c r="K257" s="17"/>
      <c r="L257" s="17"/>
      <c r="M257" s="17"/>
      <c r="N257" s="17"/>
      <c r="O257" s="17"/>
      <c r="V257" s="1520"/>
      <c r="W257" s="1219"/>
      <c r="X257" s="1219"/>
      <c r="Y257" s="1219"/>
      <c r="Z257" s="1219"/>
      <c r="AA257" s="1219"/>
    </row>
    <row r="258" spans="1:27">
      <c r="D258" s="1201"/>
      <c r="E258" s="1202"/>
      <c r="F258" s="1202"/>
      <c r="G258" s="1202"/>
      <c r="H258" s="1202"/>
      <c r="I258" s="1202"/>
      <c r="J258" s="1184" t="s">
        <v>66</v>
      </c>
      <c r="K258" s="17"/>
      <c r="L258" s="17"/>
      <c r="M258" s="17"/>
      <c r="N258" s="17"/>
      <c r="O258" s="17"/>
      <c r="P258" s="1210" t="s">
        <v>69</v>
      </c>
      <c r="Q258" s="1211" t="s">
        <v>70</v>
      </c>
      <c r="R258" s="1210" t="s">
        <v>71</v>
      </c>
      <c r="S258" s="1211" t="s">
        <v>72</v>
      </c>
      <c r="T258" s="1212" t="s">
        <v>641</v>
      </c>
      <c r="U258" s="1213" t="s">
        <v>411</v>
      </c>
      <c r="V258" s="1521" t="s">
        <v>69</v>
      </c>
      <c r="W258" s="1211" t="s">
        <v>70</v>
      </c>
      <c r="X258" s="1210" t="s">
        <v>71</v>
      </c>
      <c r="Y258" s="1211" t="s">
        <v>72</v>
      </c>
      <c r="Z258" s="1212" t="s">
        <v>641</v>
      </c>
      <c r="AA258" s="1213" t="s">
        <v>411</v>
      </c>
    </row>
    <row r="259" spans="1:27">
      <c r="A259" s="55" t="s">
        <v>1483</v>
      </c>
      <c r="B259" s="1185" t="s">
        <v>33</v>
      </c>
      <c r="C259" s="1552"/>
      <c r="D259" s="1560" t="s">
        <v>635</v>
      </c>
      <c r="E259" s="1187"/>
      <c r="F259" s="1187"/>
      <c r="G259" s="1187"/>
      <c r="H259" s="1187"/>
      <c r="I259" s="1187"/>
      <c r="J259" s="1188"/>
      <c r="K259" s="17"/>
      <c r="L259" s="17"/>
      <c r="M259" s="17"/>
      <c r="N259" s="17"/>
      <c r="O259" s="17"/>
      <c r="P259" s="1210"/>
      <c r="Q259" s="1211"/>
      <c r="R259" s="1210"/>
      <c r="S259" s="1211"/>
      <c r="T259" s="1212"/>
      <c r="U259" s="1213"/>
      <c r="V259" s="1521"/>
      <c r="W259" s="1211"/>
      <c r="X259" s="1210"/>
      <c r="Y259" s="1211"/>
      <c r="Z259" s="1212"/>
      <c r="AA259" s="1213"/>
    </row>
    <row r="260" spans="1:27">
      <c r="B260" s="922"/>
      <c r="C260" s="1561"/>
      <c r="D260" s="1204">
        <v>1</v>
      </c>
      <c r="E260" s="1191">
        <v>3</v>
      </c>
      <c r="F260" s="1191">
        <v>5</v>
      </c>
      <c r="G260" s="1191">
        <v>10</v>
      </c>
      <c r="H260" s="1191">
        <v>20</v>
      </c>
      <c r="I260" s="1191">
        <v>50</v>
      </c>
      <c r="J260" s="1191">
        <v>100</v>
      </c>
      <c r="K260" s="17"/>
      <c r="L260" s="17"/>
      <c r="M260" s="17"/>
      <c r="N260" s="17"/>
      <c r="O260" s="17"/>
      <c r="P260" s="1210">
        <f>IF(D13&lt;=$D$260,$D$260,INDEX($D$260:$J$260,1,MATCH(D13,$D$260:$J$260,1)))</f>
        <v>1</v>
      </c>
      <c r="Q260" s="1211">
        <f>IF(OR(D13&lt;=$D$260,D13&gt;=$J$260),P260,INDEX($D$260:$J$260,1,MATCH(D13,$D$260:$J$260,1)+1))</f>
        <v>1</v>
      </c>
      <c r="R260" s="1210">
        <f>INDEX($D$261:$J$261,1,MATCH(P260,$D$260:$J$260,1))</f>
        <v>0.81599999999999995</v>
      </c>
      <c r="S260" s="1211">
        <f>INDEX($D$261:$J$261,1,MATCH(Q260,$D$260:$J$260,1))</f>
        <v>0.81599999999999995</v>
      </c>
      <c r="T260" s="1212">
        <f>IF(R260=S260,S260,S260-(S260-R260)/(Q260-P260)*(Q260-U260))</f>
        <v>0.81599999999999995</v>
      </c>
      <c r="U260" s="1519">
        <f>D13</f>
        <v>0</v>
      </c>
      <c r="V260" s="1521">
        <f>IF(J13&lt;=$D$260,$D$260,INDEX($D$260:$J$260,1,MATCH(J13,$D$260:$J$260,1)))</f>
        <v>1</v>
      </c>
      <c r="W260" s="1211">
        <f>IF(OR(J13&lt;=$D$260,J13&gt;=$J$260),V260,INDEX($D$260:$J$260,1,MATCH(J13,$D$260:$J$260,1)+1))</f>
        <v>1</v>
      </c>
      <c r="X260" s="1210">
        <f>INDEX($D$261:$J$261,1,MATCH(V260,$D$260:$J$260,1))</f>
        <v>0.81599999999999995</v>
      </c>
      <c r="Y260" s="1211">
        <f>INDEX($D$261:$J$261,1,MATCH(W260,$D$260:$J$260,1))</f>
        <v>0.81599999999999995</v>
      </c>
      <c r="Z260" s="1212">
        <f>IF(X260=Y260,Y260,Y260-(Y260-X260)/(W260-V260)*(W260-AA260))</f>
        <v>0.81599999999999995</v>
      </c>
      <c r="AA260" s="1213">
        <f>E13</f>
        <v>0</v>
      </c>
    </row>
    <row r="261" spans="1:27">
      <c r="B261" s="1191">
        <v>1</v>
      </c>
      <c r="C261" s="1559" t="s">
        <v>271</v>
      </c>
      <c r="D261" s="990">
        <v>0.81599999999999995</v>
      </c>
      <c r="E261" s="990">
        <v>0.58299999999999996</v>
      </c>
      <c r="F261" s="990">
        <v>0.505</v>
      </c>
      <c r="G261" s="990">
        <v>0.38900000000000001</v>
      </c>
      <c r="H261" s="990">
        <v>0.311</v>
      </c>
      <c r="I261" s="990">
        <v>0.17599999999999999</v>
      </c>
      <c r="J261" s="990">
        <v>0.14399999999999999</v>
      </c>
      <c r="K261" s="17"/>
      <c r="L261" s="17"/>
      <c r="M261" s="17"/>
      <c r="N261" s="17"/>
      <c r="O261" s="17"/>
      <c r="V261" s="1520"/>
      <c r="W261" s="1219"/>
      <c r="X261" s="1219"/>
      <c r="Y261" s="1219"/>
      <c r="Z261" s="1219"/>
      <c r="AA261" s="1219"/>
    </row>
    <row r="262" spans="1:27">
      <c r="B262" s="17"/>
      <c r="C262" s="17"/>
      <c r="D262" s="17"/>
      <c r="E262" s="17"/>
      <c r="F262" s="17"/>
      <c r="G262" s="17"/>
      <c r="H262" s="17"/>
      <c r="I262" s="17"/>
      <c r="J262" s="17"/>
      <c r="K262" s="17"/>
      <c r="L262" s="17"/>
      <c r="M262" s="17"/>
      <c r="N262" s="17"/>
      <c r="O262" s="17"/>
      <c r="V262" s="1520"/>
      <c r="W262" s="1219"/>
      <c r="X262" s="1219"/>
      <c r="Y262" s="1219"/>
      <c r="Z262" s="1219"/>
      <c r="AA262" s="1219"/>
    </row>
    <row r="263" spans="1:27">
      <c r="B263" s="1885" t="s">
        <v>760</v>
      </c>
      <c r="C263" s="17"/>
      <c r="D263" s="17"/>
      <c r="E263" s="17"/>
      <c r="F263" s="17"/>
      <c r="G263" s="17"/>
      <c r="H263" s="17"/>
      <c r="I263" s="17"/>
      <c r="J263" s="17"/>
      <c r="K263" s="17"/>
      <c r="L263" s="17"/>
      <c r="M263" s="17"/>
      <c r="N263" s="17"/>
      <c r="O263" s="17"/>
      <c r="V263" s="1520"/>
      <c r="W263" s="1219"/>
      <c r="X263" s="1219"/>
      <c r="Y263" s="1219"/>
      <c r="Z263" s="1219"/>
      <c r="AA263" s="1219"/>
    </row>
    <row r="264" spans="1:27">
      <c r="C264" s="17"/>
      <c r="D264" s="17"/>
      <c r="E264" s="17"/>
      <c r="F264" s="17"/>
      <c r="G264" s="17"/>
      <c r="H264" s="17"/>
      <c r="I264" s="17"/>
      <c r="J264" s="17"/>
      <c r="K264" s="1184" t="s">
        <v>66</v>
      </c>
      <c r="L264" s="17"/>
      <c r="N264" s="17"/>
      <c r="O264" s="17"/>
      <c r="V264" s="1520"/>
      <c r="W264" s="1219"/>
      <c r="X264" s="1219"/>
      <c r="Y264" s="1219"/>
      <c r="Z264" s="1219"/>
      <c r="AA264" s="1219"/>
    </row>
    <row r="265" spans="1:27">
      <c r="A265" s="55" t="s">
        <v>1483</v>
      </c>
      <c r="B265" s="1185" t="s">
        <v>33</v>
      </c>
      <c r="C265" s="1185" t="s">
        <v>67</v>
      </c>
      <c r="D265" s="1215" t="s">
        <v>861</v>
      </c>
      <c r="E265" s="1203"/>
      <c r="F265" s="1203"/>
      <c r="G265" s="1203"/>
      <c r="H265" s="1203"/>
      <c r="I265" s="1203"/>
      <c r="J265" s="1203"/>
      <c r="K265" s="1203"/>
      <c r="L265" s="17"/>
      <c r="M265" s="17"/>
      <c r="N265" s="17"/>
      <c r="O265" s="17"/>
      <c r="P265" s="1210" t="s">
        <v>69</v>
      </c>
      <c r="Q265" s="1211" t="s">
        <v>70</v>
      </c>
      <c r="R265" s="1210" t="s">
        <v>71</v>
      </c>
      <c r="S265" s="1211" t="s">
        <v>72</v>
      </c>
      <c r="T265" s="1212" t="s">
        <v>641</v>
      </c>
      <c r="U265" s="1213" t="s">
        <v>411</v>
      </c>
      <c r="V265" s="1521" t="s">
        <v>69</v>
      </c>
      <c r="W265" s="1211" t="s">
        <v>70</v>
      </c>
      <c r="X265" s="1210" t="s">
        <v>71</v>
      </c>
      <c r="Y265" s="1211" t="s">
        <v>72</v>
      </c>
      <c r="Z265" s="1212" t="s">
        <v>641</v>
      </c>
      <c r="AA265" s="1213" t="s">
        <v>411</v>
      </c>
    </row>
    <row r="266" spans="1:27">
      <c r="B266" s="922"/>
      <c r="C266" s="922"/>
      <c r="D266" s="1204">
        <v>10</v>
      </c>
      <c r="E266" s="1191">
        <v>20</v>
      </c>
      <c r="F266" s="1191">
        <v>50</v>
      </c>
      <c r="G266" s="1191">
        <v>100</v>
      </c>
      <c r="H266" s="1191">
        <v>200</v>
      </c>
      <c r="I266" s="1191">
        <v>500</v>
      </c>
      <c r="J266" s="1865">
        <v>1000</v>
      </c>
      <c r="K266" s="1865">
        <v>2000</v>
      </c>
      <c r="L266" s="17"/>
      <c r="M266" s="17"/>
      <c r="N266" s="17"/>
      <c r="O266" s="17"/>
      <c r="P266" s="1210">
        <f>IF(U266&lt;=$D$266,$D$266,INDEX($D$266:$K$266,1,MATCH(U266,$D$266:$K$266,1)))</f>
        <v>10</v>
      </c>
      <c r="Q266" s="1211">
        <f>IF(OR(U266&lt;=$D$266,U266&gt;=$K$266),P266,INDEX($D$266:$K$266,1,MATCH(U266,$D$266:$K$266,1)+1))</f>
        <v>10</v>
      </c>
      <c r="R266" s="1210">
        <f>INDEX($D$267:$K$271,LCT,MATCH(P266,$D$266:$K$266,1))</f>
        <v>0.54900000000000004</v>
      </c>
      <c r="S266" s="1211">
        <f>INDEX($D$267:$K$271,LCT,MATCH(Q266,$D$266:$K$266,1))</f>
        <v>0.54900000000000004</v>
      </c>
      <c r="T266" s="1212">
        <f>IF(R266=S266,S266,S266-(S266-R266)/(Q266-P266)*(Q266-U266))</f>
        <v>0.54900000000000004</v>
      </c>
      <c r="U266" s="1213">
        <f>GTTC/10^9</f>
        <v>0</v>
      </c>
      <c r="V266" s="1521">
        <f>IF(AA266&lt;=$D$266,$D$266,INDEX($D$266:$K$266,1,MATCH(AA266,$D$266:$K$266,1)))</f>
        <v>10</v>
      </c>
      <c r="W266" s="1211">
        <f>IF(OR(AA266&lt;=$D$266,AA266&gt;=$K$266),V266,INDEX($D$266:$K$266,1,MATCH(AA266,$D$266:$K$266,1)+1))</f>
        <v>10</v>
      </c>
      <c r="X266" s="1210">
        <f>INDEX($D$267:$K$271,LCT,MATCH(V266,$D$266:$K$266,1))</f>
        <v>0.54900000000000004</v>
      </c>
      <c r="Y266" s="1211">
        <f>INDEX($D$267:$K$271,LCT,MATCH(W266,$D$266:$K$266,1))</f>
        <v>0.54900000000000004</v>
      </c>
      <c r="Z266" s="1212">
        <f>IF(X266=Y266,Y266,Y266-(Y266-X266)/(W266-V266)*(W266-AA266))</f>
        <v>0.54900000000000004</v>
      </c>
      <c r="AA266" s="1213">
        <f>GTTC/10^9</f>
        <v>0</v>
      </c>
    </row>
    <row r="267" spans="1:27">
      <c r="B267" s="1191">
        <v>1</v>
      </c>
      <c r="C267" s="1192" t="s">
        <v>34</v>
      </c>
      <c r="D267" s="990">
        <v>0.432</v>
      </c>
      <c r="E267" s="990">
        <v>0.34599999999999997</v>
      </c>
      <c r="F267" s="990">
        <v>0.19500000000000001</v>
      </c>
      <c r="G267" s="990">
        <v>0.127</v>
      </c>
      <c r="H267" s="990">
        <v>7.8E-2</v>
      </c>
      <c r="I267" s="990">
        <v>5.7000000000000002E-2</v>
      </c>
      <c r="J267" s="990">
        <v>0.04</v>
      </c>
      <c r="K267" s="990">
        <v>3.2000000000000001E-2</v>
      </c>
      <c r="L267" s="17"/>
      <c r="M267" s="17"/>
      <c r="N267" s="17"/>
      <c r="O267" s="17"/>
      <c r="V267" s="1520"/>
      <c r="W267" s="1219"/>
      <c r="X267" s="1219"/>
      <c r="Y267" s="1219"/>
      <c r="Z267" s="1219"/>
      <c r="AA267" s="1219"/>
    </row>
    <row r="268" spans="1:27">
      <c r="B268" s="1191">
        <v>2</v>
      </c>
      <c r="C268" s="1192" t="s">
        <v>35</v>
      </c>
      <c r="D268" s="990">
        <v>0.54900000000000004</v>
      </c>
      <c r="E268" s="990">
        <v>0.379</v>
      </c>
      <c r="F268" s="990">
        <v>0.21099999999999999</v>
      </c>
      <c r="G268" s="990">
        <v>0.14399999999999999</v>
      </c>
      <c r="H268" s="990">
        <v>9.6000000000000002E-2</v>
      </c>
      <c r="I268" s="990">
        <v>6.7000000000000004E-2</v>
      </c>
      <c r="J268" s="990">
        <v>5.1999999999999998E-2</v>
      </c>
      <c r="K268" s="990">
        <v>4.1000000000000002E-2</v>
      </c>
      <c r="L268" s="17"/>
      <c r="M268" s="17"/>
      <c r="N268" s="17"/>
      <c r="O268" s="17"/>
      <c r="V268" s="1520"/>
      <c r="W268" s="1219"/>
      <c r="X268" s="1219"/>
      <c r="Y268" s="1219"/>
      <c r="Z268" s="1219"/>
      <c r="AA268" s="1219"/>
    </row>
    <row r="269" spans="1:27">
      <c r="B269" s="1191">
        <v>3</v>
      </c>
      <c r="C269" s="1192" t="s">
        <v>36</v>
      </c>
      <c r="D269" s="990">
        <v>0.34599999999999997</v>
      </c>
      <c r="E269" s="990">
        <v>0.23699999999999999</v>
      </c>
      <c r="F269" s="990">
        <v>0.151</v>
      </c>
      <c r="G269" s="990">
        <v>0.09</v>
      </c>
      <c r="H269" s="990">
        <v>5.7000000000000002E-2</v>
      </c>
      <c r="I269" s="990">
        <v>4.2999999999999997E-2</v>
      </c>
      <c r="J269" s="990">
        <v>2.9000000000000001E-2</v>
      </c>
      <c r="K269" s="990">
        <v>2.3E-2</v>
      </c>
      <c r="L269" s="17"/>
      <c r="M269" s="17"/>
      <c r="N269" s="17"/>
      <c r="O269" s="17"/>
      <c r="V269" s="1520"/>
      <c r="W269" s="1219"/>
      <c r="X269" s="1219"/>
      <c r="Y269" s="1219"/>
      <c r="Z269" s="1219"/>
      <c r="AA269" s="1219"/>
    </row>
    <row r="270" spans="1:27">
      <c r="B270" s="1191">
        <v>4</v>
      </c>
      <c r="C270" s="1192" t="s">
        <v>375</v>
      </c>
      <c r="D270" s="990">
        <v>0.36099999999999999</v>
      </c>
      <c r="E270" s="990">
        <v>0.30199999999999999</v>
      </c>
      <c r="F270" s="990">
        <v>0.16600000000000001</v>
      </c>
      <c r="G270" s="990">
        <v>9.4E-2</v>
      </c>
      <c r="H270" s="990">
        <v>6.6000000000000003E-2</v>
      </c>
      <c r="I270" s="990">
        <v>4.5999999999999999E-2</v>
      </c>
      <c r="J270" s="990">
        <v>3.1000000000001301E-2</v>
      </c>
      <c r="K270" s="990">
        <v>2.5999999999999999E-2</v>
      </c>
      <c r="L270" s="17"/>
      <c r="M270" s="17"/>
      <c r="N270" s="17"/>
      <c r="O270" s="17"/>
      <c r="V270" s="1520"/>
      <c r="W270" s="1219"/>
      <c r="X270" s="1219"/>
      <c r="Y270" s="1219"/>
      <c r="Z270" s="1219"/>
      <c r="AA270" s="1219"/>
    </row>
    <row r="271" spans="1:27">
      <c r="B271" s="1191">
        <v>5</v>
      </c>
      <c r="C271" s="1192" t="s">
        <v>38</v>
      </c>
      <c r="D271" s="990">
        <v>0.38800000000000001</v>
      </c>
      <c r="E271" s="990">
        <v>0.32500000000000001</v>
      </c>
      <c r="F271" s="990">
        <v>0.17199999999999999</v>
      </c>
      <c r="G271" s="990">
        <v>0.106</v>
      </c>
      <c r="H271" s="990">
        <v>6.9000000000000006E-2</v>
      </c>
      <c r="I271" s="990">
        <v>5.1999999999999998E-2</v>
      </c>
      <c r="J271" s="990">
        <v>3.7999999999999999E-2</v>
      </c>
      <c r="K271" s="990">
        <v>2.8000000000000001E-2</v>
      </c>
      <c r="L271" s="17"/>
      <c r="M271" s="17"/>
      <c r="N271" s="17"/>
      <c r="O271" s="17"/>
      <c r="V271" s="1520"/>
      <c r="W271" s="1219"/>
      <c r="X271" s="1219"/>
      <c r="Y271" s="1219"/>
      <c r="Z271" s="1219"/>
      <c r="AA271" s="1219"/>
    </row>
    <row r="272" spans="1:27">
      <c r="B272" s="17"/>
      <c r="C272" s="17"/>
      <c r="D272" s="17"/>
      <c r="E272" s="17"/>
      <c r="F272" s="17"/>
      <c r="G272" s="17"/>
      <c r="H272" s="17"/>
      <c r="I272" s="17"/>
      <c r="J272" s="17"/>
      <c r="K272" s="17"/>
      <c r="L272" s="17"/>
      <c r="M272" s="17"/>
      <c r="N272" s="17"/>
      <c r="O272" s="17"/>
      <c r="V272" s="1520"/>
      <c r="W272" s="1219"/>
      <c r="X272" s="1219"/>
      <c r="Y272" s="1219"/>
      <c r="Z272" s="1219"/>
      <c r="AA272" s="1219"/>
    </row>
    <row r="273" spans="1:27">
      <c r="B273" s="1885" t="s">
        <v>761</v>
      </c>
      <c r="C273" s="17"/>
      <c r="D273" s="17"/>
      <c r="E273" s="17"/>
      <c r="F273" s="17"/>
      <c r="G273" s="17"/>
      <c r="H273" s="17"/>
      <c r="I273" s="17"/>
      <c r="J273" s="17"/>
      <c r="K273" s="17"/>
      <c r="L273" s="17"/>
      <c r="M273" s="17"/>
      <c r="N273" s="17"/>
      <c r="O273" s="17"/>
      <c r="V273" s="1520"/>
      <c r="W273" s="1219"/>
      <c r="X273" s="1219"/>
      <c r="Y273" s="1219"/>
      <c r="Z273" s="1219"/>
      <c r="AA273" s="1219"/>
    </row>
    <row r="274" spans="1:27">
      <c r="C274" s="17"/>
      <c r="D274" s="17"/>
      <c r="E274" s="17"/>
      <c r="F274" s="17"/>
      <c r="G274" s="17"/>
      <c r="H274" s="17"/>
      <c r="I274" s="17"/>
      <c r="J274" s="17"/>
      <c r="K274" s="1184" t="s">
        <v>66</v>
      </c>
      <c r="L274" s="17"/>
      <c r="N274" s="17"/>
      <c r="O274" s="17"/>
      <c r="V274" s="1520"/>
      <c r="W274" s="1219"/>
      <c r="X274" s="1219"/>
      <c r="Y274" s="1219"/>
      <c r="Z274" s="1219"/>
      <c r="AA274" s="1219"/>
    </row>
    <row r="275" spans="1:27">
      <c r="A275" s="55" t="s">
        <v>1483</v>
      </c>
      <c r="B275" s="1185" t="s">
        <v>33</v>
      </c>
      <c r="C275" s="1185" t="s">
        <v>67</v>
      </c>
      <c r="D275" s="1215" t="s">
        <v>862</v>
      </c>
      <c r="E275" s="1203"/>
      <c r="F275" s="1203"/>
      <c r="G275" s="1203"/>
      <c r="H275" s="1203"/>
      <c r="I275" s="1203"/>
      <c r="J275" s="1203"/>
      <c r="K275" s="1203"/>
      <c r="L275" s="17"/>
      <c r="M275" s="17"/>
      <c r="N275" s="17"/>
      <c r="O275" s="17"/>
      <c r="P275" s="1210" t="s">
        <v>69</v>
      </c>
      <c r="Q275" s="1211" t="s">
        <v>70</v>
      </c>
      <c r="R275" s="1210" t="s">
        <v>71</v>
      </c>
      <c r="S275" s="1211" t="s">
        <v>72</v>
      </c>
      <c r="T275" s="1212" t="s">
        <v>641</v>
      </c>
      <c r="U275" s="1213" t="s">
        <v>411</v>
      </c>
      <c r="V275" s="1521" t="s">
        <v>69</v>
      </c>
      <c r="W275" s="1211" t="s">
        <v>70</v>
      </c>
      <c r="X275" s="1210" t="s">
        <v>71</v>
      </c>
      <c r="Y275" s="1211" t="s">
        <v>72</v>
      </c>
      <c r="Z275" s="1212" t="s">
        <v>641</v>
      </c>
      <c r="AA275" s="1213" t="s">
        <v>411</v>
      </c>
    </row>
    <row r="276" spans="1:27">
      <c r="B276" s="922"/>
      <c r="C276" s="922"/>
      <c r="D276" s="1204">
        <v>10</v>
      </c>
      <c r="E276" s="1191">
        <v>20</v>
      </c>
      <c r="F276" s="1191">
        <v>50</v>
      </c>
      <c r="G276" s="1191">
        <v>100</v>
      </c>
      <c r="H276" s="1191">
        <v>200</v>
      </c>
      <c r="I276" s="1191">
        <v>500</v>
      </c>
      <c r="J276" s="1865">
        <v>1000</v>
      </c>
      <c r="K276" s="1865">
        <v>2000</v>
      </c>
      <c r="L276" s="17"/>
      <c r="M276" s="17"/>
      <c r="N276" s="17"/>
      <c r="O276" s="17"/>
      <c r="P276" s="1210">
        <f ca="1">IF(U276&lt;=$D$276,$D$276,INDEX($D$276:$K$276,1,MATCH(U276,$D$276:$K$276,1)))</f>
        <v>10</v>
      </c>
      <c r="Q276" s="1211">
        <f ca="1">IF(OR(U276&lt;=$D$276,U276&gt;=$K$276),P276,INDEX($D$276:$K$276,1,MATCH(U276,$D$276:$K$276,1)+1))</f>
        <v>10</v>
      </c>
      <c r="R276" s="1210">
        <f ca="1">INDEX($D$277:$K$281,LCT,MATCH(P276,$D$276:$K$276,1))</f>
        <v>0.54900000000000004</v>
      </c>
      <c r="S276" s="1211">
        <f ca="1">INDEX($D$277:$K$281,LCT,MATCH(Q276,$D$276:$K$276,1))</f>
        <v>0.54900000000000004</v>
      </c>
      <c r="T276" s="1212">
        <f ca="1">IF(R276=S276,S276,S276-(S276-R276)/(Q276-P276)*(Q276-U276))</f>
        <v>0.54900000000000004</v>
      </c>
      <c r="U276" s="1519">
        <f ca="1">D6</f>
        <v>0</v>
      </c>
      <c r="V276" s="1521">
        <f>IF(AA276&lt;=$D$276,$D$276,INDEX($D$276:$K$276,1,MATCH(AA276,$D$276:$K$276,1)))</f>
        <v>10</v>
      </c>
      <c r="W276" s="1211">
        <f>IF(OR(AA276&lt;=$D$276,AA276&gt;=$K$276),V276,INDEX($D$276:$K$276,1,MATCH(AA276,$D$276:$K$276,1)+1))</f>
        <v>10</v>
      </c>
      <c r="X276" s="1210">
        <f>INDEX($D$277:$K$281,LCT,MATCH(V276,$D$276:$K$276,1))</f>
        <v>0.54900000000000004</v>
      </c>
      <c r="Y276" s="1211">
        <f>INDEX($D$277:$K$281,LCT,MATCH(W276,$D$276:$K$276,1))</f>
        <v>0.54900000000000004</v>
      </c>
      <c r="Z276" s="1212">
        <f>IF(X276=Y276,Y276,Y276-(Y276-X276)/(W276-V276)*(W276-AA276))</f>
        <v>0.54900000000000004</v>
      </c>
      <c r="AA276" s="1213">
        <f>E6</f>
        <v>0</v>
      </c>
    </row>
    <row r="277" spans="1:27">
      <c r="B277" s="1191">
        <v>1</v>
      </c>
      <c r="C277" s="1192" t="s">
        <v>34</v>
      </c>
      <c r="D277" s="990">
        <v>0.36699999999999999</v>
      </c>
      <c r="E277" s="990">
        <v>0.34599999999999997</v>
      </c>
      <c r="F277" s="990">
        <v>0.18099999999999999</v>
      </c>
      <c r="G277" s="990">
        <v>0.113</v>
      </c>
      <c r="H277" s="990">
        <v>0.10199999999999999</v>
      </c>
      <c r="I277" s="990">
        <v>8.1000000000000003E-2</v>
      </c>
      <c r="J277" s="990">
        <v>5.5E-2</v>
      </c>
      <c r="K277" s="990">
        <v>4.2999999999999997E-2</v>
      </c>
      <c r="L277" s="17"/>
      <c r="M277" s="17"/>
      <c r="N277" s="17"/>
      <c r="O277" s="17"/>
      <c r="V277" s="1520"/>
      <c r="W277" s="1219"/>
      <c r="X277" s="1219"/>
      <c r="Y277" s="1219"/>
      <c r="Z277" s="1219"/>
      <c r="AA277" s="1219"/>
    </row>
    <row r="278" spans="1:27">
      <c r="B278" s="1191">
        <v>2</v>
      </c>
      <c r="C278" s="1192" t="s">
        <v>35</v>
      </c>
      <c r="D278" s="990">
        <v>0.54900000000000004</v>
      </c>
      <c r="E278" s="990">
        <v>0.49399999999999999</v>
      </c>
      <c r="F278" s="990">
        <v>0.28000000000000003</v>
      </c>
      <c r="G278" s="990">
        <v>0.17699999999999999</v>
      </c>
      <c r="H278" s="990">
        <v>0.152</v>
      </c>
      <c r="I278" s="990">
        <v>0.123</v>
      </c>
      <c r="J278" s="990">
        <v>8.4000000000000005E-2</v>
      </c>
      <c r="K278" s="990">
        <v>6.6000000000000003E-2</v>
      </c>
      <c r="L278" s="17"/>
      <c r="M278" s="17"/>
      <c r="N278" s="17"/>
      <c r="O278" s="17"/>
      <c r="V278" s="1520"/>
      <c r="W278" s="1219"/>
      <c r="X278" s="1219"/>
      <c r="Y278" s="1219"/>
      <c r="Z278" s="1219"/>
      <c r="AA278" s="1219"/>
    </row>
    <row r="279" spans="1:27">
      <c r="B279" s="1191">
        <v>3</v>
      </c>
      <c r="C279" s="1192" t="s">
        <v>36</v>
      </c>
      <c r="D279" s="990">
        <v>0.26100000000000001</v>
      </c>
      <c r="E279" s="990">
        <v>0.23</v>
      </c>
      <c r="F279" s="990">
        <v>0.13100000000000001</v>
      </c>
      <c r="G279" s="990">
        <v>8.4000000000000005E-2</v>
      </c>
      <c r="H279" s="990">
        <v>7.3999999999999996E-2</v>
      </c>
      <c r="I279" s="990">
        <v>5.6000000000000001E-2</v>
      </c>
      <c r="J279" s="990">
        <v>0.04</v>
      </c>
      <c r="K279" s="990">
        <v>3.2000000000000001E-2</v>
      </c>
      <c r="L279" s="17"/>
      <c r="M279" s="17"/>
      <c r="N279" s="17"/>
      <c r="O279" s="17"/>
      <c r="V279" s="1520"/>
      <c r="W279" s="1219"/>
      <c r="X279" s="1219"/>
      <c r="Y279" s="1219"/>
      <c r="Z279" s="1219"/>
      <c r="AA279" s="1219"/>
    </row>
    <row r="280" spans="1:27">
      <c r="B280" s="1191">
        <v>4</v>
      </c>
      <c r="C280" s="1192" t="s">
        <v>375</v>
      </c>
      <c r="D280" s="990">
        <v>0.28100000000000003</v>
      </c>
      <c r="E280" s="990">
        <v>0.245</v>
      </c>
      <c r="F280" s="990">
        <v>0.14000000000000001</v>
      </c>
      <c r="G280" s="990">
        <v>0.09</v>
      </c>
      <c r="H280" s="990">
        <v>7.8E-2</v>
      </c>
      <c r="I280" s="990">
        <v>6.0999999999999999E-2</v>
      </c>
      <c r="J280" s="990">
        <v>0.05</v>
      </c>
      <c r="K280" s="990">
        <v>3.6999999999999998E-2</v>
      </c>
      <c r="L280" s="17"/>
      <c r="M280" s="17"/>
      <c r="N280" s="17"/>
      <c r="O280" s="17"/>
      <c r="V280" s="1520"/>
      <c r="W280" s="1219"/>
      <c r="X280" s="1219"/>
      <c r="Y280" s="1219"/>
      <c r="Z280" s="1219"/>
      <c r="AA280" s="1219"/>
    </row>
    <row r="281" spans="1:27">
      <c r="B281" s="1191">
        <v>5</v>
      </c>
      <c r="C281" s="1192" t="s">
        <v>38</v>
      </c>
      <c r="D281" s="990">
        <v>0.30199999999999999</v>
      </c>
      <c r="E281" s="990">
        <v>0.26</v>
      </c>
      <c r="F281" s="990">
        <v>0.156</v>
      </c>
      <c r="G281" s="990">
        <v>0.10199999999999999</v>
      </c>
      <c r="H281" s="990">
        <v>8.6999999999999994E-2</v>
      </c>
      <c r="I281" s="990">
        <v>6.9000000000000006E-2</v>
      </c>
      <c r="J281" s="990">
        <v>5.3999999999999999E-2</v>
      </c>
      <c r="K281" s="990">
        <v>4.1000000000000002E-2</v>
      </c>
      <c r="L281" s="17"/>
      <c r="M281" s="17"/>
      <c r="N281" s="17"/>
      <c r="O281" s="17"/>
      <c r="V281" s="1520"/>
      <c r="W281" s="1219"/>
      <c r="X281" s="1219"/>
      <c r="Y281" s="1219"/>
      <c r="Z281" s="1219"/>
      <c r="AA281" s="1219"/>
    </row>
    <row r="282" spans="1:27">
      <c r="B282" s="17"/>
      <c r="C282" s="17"/>
      <c r="D282" s="17"/>
      <c r="E282" s="17"/>
      <c r="F282" s="17"/>
      <c r="G282" s="17"/>
      <c r="H282" s="17"/>
      <c r="I282" s="17"/>
      <c r="J282" s="17"/>
      <c r="K282" s="17"/>
      <c r="L282" s="17"/>
      <c r="M282" s="17"/>
      <c r="N282" s="17"/>
      <c r="O282" s="17"/>
      <c r="V282" s="1520"/>
      <c r="W282" s="1219"/>
      <c r="X282" s="1219"/>
      <c r="Y282" s="1219"/>
      <c r="Z282" s="1219"/>
      <c r="AA282" s="1219"/>
    </row>
    <row r="283" spans="1:27">
      <c r="B283" s="1885" t="s">
        <v>762</v>
      </c>
      <c r="C283" s="17"/>
      <c r="D283" s="17"/>
      <c r="E283" s="17"/>
      <c r="F283" s="17"/>
      <c r="G283" s="17"/>
      <c r="H283" s="17"/>
      <c r="I283" s="17"/>
      <c r="J283" s="17"/>
      <c r="K283" s="17"/>
      <c r="L283" s="17"/>
      <c r="M283" s="17"/>
      <c r="N283" s="17"/>
      <c r="O283" s="17"/>
      <c r="V283" s="1520"/>
      <c r="W283" s="1219"/>
      <c r="X283" s="1219"/>
      <c r="Y283" s="1219"/>
      <c r="Z283" s="1219"/>
      <c r="AA283" s="1219"/>
    </row>
    <row r="284" spans="1:27">
      <c r="B284" s="17"/>
      <c r="C284" s="17"/>
      <c r="D284" s="17"/>
      <c r="E284" s="17"/>
      <c r="F284" s="17"/>
      <c r="G284" s="17"/>
      <c r="H284" s="17"/>
      <c r="I284" s="17"/>
      <c r="J284" s="17"/>
      <c r="K284" s="17"/>
      <c r="L284" s="17"/>
      <c r="N284" s="1184" t="s">
        <v>66</v>
      </c>
      <c r="O284" s="17"/>
      <c r="V284" s="1520"/>
      <c r="W284" s="1219"/>
      <c r="X284" s="1219"/>
      <c r="Y284" s="1219"/>
      <c r="Z284" s="1219"/>
      <c r="AA284" s="1219"/>
    </row>
    <row r="285" spans="1:27">
      <c r="A285" s="55" t="s">
        <v>1483</v>
      </c>
      <c r="B285" s="1185" t="s">
        <v>33</v>
      </c>
      <c r="C285" s="1185" t="s">
        <v>67</v>
      </c>
      <c r="D285" s="1203" t="s">
        <v>861</v>
      </c>
      <c r="E285" s="1203"/>
      <c r="F285" s="1203"/>
      <c r="G285" s="1203"/>
      <c r="H285" s="1203"/>
      <c r="I285" s="1203"/>
      <c r="J285" s="1203"/>
      <c r="K285" s="1203"/>
      <c r="L285" s="1203"/>
      <c r="M285" s="1203"/>
      <c r="N285" s="1203"/>
      <c r="O285" s="17"/>
      <c r="P285" s="1210" t="s">
        <v>69</v>
      </c>
      <c r="Q285" s="1211" t="s">
        <v>70</v>
      </c>
      <c r="R285" s="1210" t="s">
        <v>71</v>
      </c>
      <c r="S285" s="1211" t="s">
        <v>72</v>
      </c>
      <c r="T285" s="1212" t="s">
        <v>641</v>
      </c>
      <c r="U285" s="1213" t="s">
        <v>411</v>
      </c>
      <c r="V285" s="1521" t="s">
        <v>69</v>
      </c>
      <c r="W285" s="1211" t="s">
        <v>70</v>
      </c>
      <c r="X285" s="1210" t="s">
        <v>71</v>
      </c>
      <c r="Y285" s="1211" t="s">
        <v>72</v>
      </c>
      <c r="Z285" s="1212" t="s">
        <v>641</v>
      </c>
      <c r="AA285" s="1213" t="s">
        <v>411</v>
      </c>
    </row>
    <row r="286" spans="1:27">
      <c r="B286" s="922"/>
      <c r="C286" s="922"/>
      <c r="D286" s="1204">
        <v>10</v>
      </c>
      <c r="E286" s="1191">
        <v>20</v>
      </c>
      <c r="F286" s="1191">
        <v>50</v>
      </c>
      <c r="G286" s="1191">
        <v>100</v>
      </c>
      <c r="H286" s="1191">
        <v>200</v>
      </c>
      <c r="I286" s="1191">
        <v>500</v>
      </c>
      <c r="J286" s="1865">
        <v>1000</v>
      </c>
      <c r="K286" s="1865">
        <v>2000</v>
      </c>
      <c r="L286" s="1865">
        <v>5000</v>
      </c>
      <c r="M286" s="1865">
        <v>8000</v>
      </c>
      <c r="N286" s="1865">
        <v>10000</v>
      </c>
      <c r="O286" s="17"/>
      <c r="P286" s="1210">
        <f ca="1">IF(U286&lt;=$D$286,$D$286,INDEX($D$286:$N$286,1,MATCH(U286,$D$286:$N$286,1)))</f>
        <v>10</v>
      </c>
      <c r="Q286" s="1211">
        <f ca="1">IF(OR(U286&lt;=$D$286,U286&gt;=$N$286),P286,INDEX($D$286:$N$286,1,MATCH(U286,$D$286:$N$286,1)+1))</f>
        <v>10</v>
      </c>
      <c r="R286" s="1210">
        <f ca="1">INDEX($D$287:$N$291,LCT,MATCH(P286,$D$286:$N$286,1))</f>
        <v>3.508</v>
      </c>
      <c r="S286" s="1211">
        <f ca="1">INDEX($D$287:$N$291,LCT,MATCH(Q286,$D$286:$N$286,1))</f>
        <v>3.508</v>
      </c>
      <c r="T286" s="1212">
        <f ca="1">IF(R286=S286,S286,S286-(S286-R286)/(Q286-P286)*(Q286-U286))</f>
        <v>3.508</v>
      </c>
      <c r="U286" s="1519">
        <f ca="1">D5</f>
        <v>0.34403316717430643</v>
      </c>
      <c r="V286" s="1521">
        <f>IF(AA286&lt;=$D$286,$D$286,INDEX($D$286:$N$286,1,MATCH(AA286,$D$286:$N$286,1)))</f>
        <v>10</v>
      </c>
      <c r="W286" s="1211">
        <f>IF(OR(AA286&lt;=$D$286,AA286&gt;=$N$286),V286,INDEX($D$286:$N$286,1,MATCH(AA286,$D$286:$N$286,1)+1))</f>
        <v>10</v>
      </c>
      <c r="X286" s="1210">
        <f>INDEX($D$287:$N$291,LCT,MATCH(V286,$D$286:$N$286,1))</f>
        <v>3.508</v>
      </c>
      <c r="Y286" s="1211">
        <f>INDEX($D$287:$N$291,LCT,MATCH(W286,$D$286:$N$286,1))</f>
        <v>3.508</v>
      </c>
      <c r="Z286" s="1212">
        <f>IF(X286=Y286,Y286,Y286-(Y286-X286)/(W286-V286)*(W286-AA286))</f>
        <v>3.508</v>
      </c>
      <c r="AA286" s="1213">
        <f>E5</f>
        <v>0</v>
      </c>
    </row>
    <row r="287" spans="1:27">
      <c r="B287" s="1191">
        <v>1</v>
      </c>
      <c r="C287" s="1192" t="s">
        <v>34</v>
      </c>
      <c r="D287" s="990">
        <v>3.2850000000000001</v>
      </c>
      <c r="E287" s="990">
        <v>2.8530000000000002</v>
      </c>
      <c r="F287" s="990">
        <v>2.4350000000000001</v>
      </c>
      <c r="G287" s="990">
        <v>1.845</v>
      </c>
      <c r="H287" s="990">
        <v>1.546</v>
      </c>
      <c r="I287" s="990">
        <v>1.1879999999999999</v>
      </c>
      <c r="J287" s="990">
        <v>0.79700000000000004</v>
      </c>
      <c r="K287" s="990">
        <v>0.69399999999999995</v>
      </c>
      <c r="L287" s="990">
        <v>0.62</v>
      </c>
      <c r="M287" s="990">
        <v>0.53</v>
      </c>
      <c r="N287" s="990">
        <v>0.47799999999999998</v>
      </c>
      <c r="O287" s="17"/>
      <c r="V287" s="1520"/>
      <c r="W287" s="1219"/>
      <c r="X287" s="1219"/>
      <c r="Y287" s="1219"/>
      <c r="Z287" s="1219"/>
      <c r="AA287" s="1219"/>
    </row>
    <row r="288" spans="1:27">
      <c r="B288" s="1191">
        <v>2</v>
      </c>
      <c r="C288" s="1192" t="s">
        <v>35</v>
      </c>
      <c r="D288" s="990">
        <v>3.508</v>
      </c>
      <c r="E288" s="990">
        <v>3.137</v>
      </c>
      <c r="F288" s="990">
        <v>2.5590000000000002</v>
      </c>
      <c r="G288" s="990">
        <v>2.0739999999999998</v>
      </c>
      <c r="H288" s="990">
        <v>1.6040000000000001</v>
      </c>
      <c r="I288" s="990">
        <v>1.3009999999999999</v>
      </c>
      <c r="J288" s="990">
        <v>0.82299999999999995</v>
      </c>
      <c r="K288" s="990">
        <v>0.71599999999999997</v>
      </c>
      <c r="L288" s="990">
        <v>0.64</v>
      </c>
      <c r="M288" s="990">
        <v>0.55000000000000004</v>
      </c>
      <c r="N288" s="990">
        <v>0.49299999999999999</v>
      </c>
      <c r="O288" s="17"/>
      <c r="V288" s="1520"/>
      <c r="W288" s="1219"/>
      <c r="X288" s="1219"/>
      <c r="Y288" s="1219"/>
      <c r="Z288" s="1219"/>
      <c r="AA288" s="1219"/>
    </row>
    <row r="289" spans="1:27">
      <c r="B289" s="1191">
        <v>3</v>
      </c>
      <c r="C289" s="1192" t="s">
        <v>36</v>
      </c>
      <c r="D289" s="990">
        <v>3.2029999999999998</v>
      </c>
      <c r="E289" s="990">
        <v>2.7</v>
      </c>
      <c r="F289" s="990">
        <v>2.3559999999999999</v>
      </c>
      <c r="G289" s="990">
        <v>1.714</v>
      </c>
      <c r="H289" s="990">
        <v>1.272</v>
      </c>
      <c r="I289" s="990">
        <v>1.0029999999999999</v>
      </c>
      <c r="J289" s="990">
        <v>0.73099999999999998</v>
      </c>
      <c r="K289" s="990">
        <v>0.63600000000000001</v>
      </c>
      <c r="L289" s="990">
        <v>0.55000000000000004</v>
      </c>
      <c r="M289" s="990">
        <v>0.48</v>
      </c>
      <c r="N289" s="990">
        <v>0.438</v>
      </c>
      <c r="O289" s="17"/>
      <c r="V289" s="1520"/>
      <c r="W289" s="1219"/>
      <c r="X289" s="1219"/>
      <c r="Y289" s="1219"/>
      <c r="Z289" s="1219"/>
      <c r="AA289" s="1219"/>
    </row>
    <row r="290" spans="1:27">
      <c r="B290" s="1191">
        <v>4</v>
      </c>
      <c r="C290" s="1192" t="s">
        <v>375</v>
      </c>
      <c r="D290" s="990">
        <v>2.5979999999999999</v>
      </c>
      <c r="E290" s="990">
        <v>2.2919999999999998</v>
      </c>
      <c r="F290" s="990">
        <v>2.0750000000000002</v>
      </c>
      <c r="G290" s="990">
        <v>1.5449999999999999</v>
      </c>
      <c r="H290" s="990">
        <v>1.1890000000000001</v>
      </c>
      <c r="I290" s="990">
        <v>0.95</v>
      </c>
      <c r="J290" s="990">
        <v>0.63100000000000001</v>
      </c>
      <c r="K290" s="990">
        <v>0.55000000000000004</v>
      </c>
      <c r="L290" s="990">
        <v>0.49</v>
      </c>
      <c r="M290" s="990">
        <v>0.42</v>
      </c>
      <c r="N290" s="990">
        <v>0.378000000000001</v>
      </c>
      <c r="O290" s="17"/>
      <c r="V290" s="1520"/>
      <c r="W290" s="1219"/>
      <c r="X290" s="1219"/>
      <c r="Y290" s="1219"/>
      <c r="Z290" s="1219"/>
      <c r="AA290" s="1219"/>
    </row>
    <row r="291" spans="1:27">
      <c r="B291" s="1191">
        <v>5</v>
      </c>
      <c r="C291" s="1192" t="s">
        <v>38</v>
      </c>
      <c r="D291" s="990">
        <v>2.5659999999999998</v>
      </c>
      <c r="E291" s="990">
        <v>2.2559999999999998</v>
      </c>
      <c r="F291" s="990">
        <v>1.984</v>
      </c>
      <c r="G291" s="990">
        <v>1.4610000000000001</v>
      </c>
      <c r="H291" s="990">
        <v>1.1419999999999999</v>
      </c>
      <c r="I291" s="990">
        <v>0.91200000000000003</v>
      </c>
      <c r="J291" s="990">
        <v>0.58399999999999996</v>
      </c>
      <c r="K291" s="990">
        <v>0.50900000000000001</v>
      </c>
      <c r="L291" s="990">
        <v>0.45200000000000001</v>
      </c>
      <c r="M291" s="990">
        <v>0.39</v>
      </c>
      <c r="N291" s="990">
        <v>0.35</v>
      </c>
      <c r="O291" s="17"/>
      <c r="V291" s="1520"/>
      <c r="W291" s="1219"/>
      <c r="X291" s="1219"/>
      <c r="Y291" s="1219"/>
      <c r="Z291" s="1219"/>
      <c r="AA291" s="1219"/>
    </row>
    <row r="292" spans="1:27">
      <c r="B292" s="17"/>
      <c r="C292" s="17"/>
      <c r="D292" s="17"/>
      <c r="E292" s="17"/>
      <c r="F292" s="17"/>
      <c r="G292" s="17"/>
      <c r="H292" s="17"/>
      <c r="I292" s="17"/>
      <c r="J292" s="17"/>
      <c r="K292" s="17"/>
      <c r="L292" s="17"/>
      <c r="M292" s="17"/>
      <c r="N292" s="17"/>
      <c r="O292" s="17"/>
      <c r="V292" s="1520"/>
      <c r="W292" s="1219"/>
      <c r="X292" s="1219"/>
      <c r="Y292" s="1219"/>
      <c r="Z292" s="1219"/>
      <c r="AA292" s="1219"/>
    </row>
    <row r="293" spans="1:27">
      <c r="B293" s="1885" t="s">
        <v>763</v>
      </c>
      <c r="C293" s="17"/>
      <c r="D293" s="17"/>
      <c r="E293" s="17"/>
      <c r="F293" s="17"/>
      <c r="G293" s="17"/>
      <c r="H293" s="17"/>
      <c r="I293" s="17"/>
      <c r="J293" s="17"/>
      <c r="K293" s="17"/>
      <c r="L293" s="17"/>
      <c r="M293" s="17"/>
      <c r="N293" s="17"/>
      <c r="O293" s="17"/>
      <c r="V293" s="1520"/>
      <c r="W293" s="1219"/>
      <c r="X293" s="1219"/>
      <c r="Y293" s="1219"/>
      <c r="Z293" s="1219"/>
      <c r="AA293" s="1219"/>
    </row>
    <row r="294" spans="1:27">
      <c r="C294" s="17"/>
      <c r="D294" s="17"/>
      <c r="E294" s="17"/>
      <c r="F294" s="17"/>
      <c r="G294" s="17"/>
      <c r="H294" s="17"/>
      <c r="I294" s="17"/>
      <c r="J294" s="17"/>
      <c r="K294" s="17"/>
      <c r="L294" s="17"/>
      <c r="N294" s="1184" t="s">
        <v>66</v>
      </c>
      <c r="O294" s="17"/>
      <c r="V294" s="1520"/>
      <c r="W294" s="1219"/>
      <c r="X294" s="1219"/>
      <c r="Y294" s="1219"/>
      <c r="Z294" s="1219"/>
      <c r="AA294" s="1219"/>
    </row>
    <row r="295" spans="1:27">
      <c r="A295" s="55" t="s">
        <v>1483</v>
      </c>
      <c r="B295" s="1185" t="s">
        <v>33</v>
      </c>
      <c r="C295" s="1185" t="s">
        <v>67</v>
      </c>
      <c r="D295" s="1203" t="s">
        <v>863</v>
      </c>
      <c r="E295" s="1203"/>
      <c r="F295" s="1203"/>
      <c r="G295" s="1203"/>
      <c r="H295" s="1203"/>
      <c r="I295" s="1203"/>
      <c r="J295" s="1203"/>
      <c r="K295" s="1203"/>
      <c r="L295" s="1203"/>
      <c r="M295" s="1203"/>
      <c r="N295" s="1203"/>
      <c r="O295" s="17"/>
      <c r="P295" s="1210" t="s">
        <v>69</v>
      </c>
      <c r="Q295" s="1211" t="s">
        <v>70</v>
      </c>
      <c r="R295" s="1210" t="s">
        <v>71</v>
      </c>
      <c r="S295" s="1211" t="s">
        <v>72</v>
      </c>
      <c r="T295" s="1212" t="s">
        <v>641</v>
      </c>
      <c r="U295" s="1213" t="s">
        <v>411</v>
      </c>
      <c r="V295" s="1521" t="s">
        <v>69</v>
      </c>
      <c r="W295" s="1211" t="s">
        <v>70</v>
      </c>
      <c r="X295" s="1210" t="s">
        <v>71</v>
      </c>
      <c r="Y295" s="1211" t="s">
        <v>72</v>
      </c>
      <c r="Z295" s="1212" t="s">
        <v>641</v>
      </c>
      <c r="AA295" s="1213" t="s">
        <v>411</v>
      </c>
    </row>
    <row r="296" spans="1:27">
      <c r="B296" s="922"/>
      <c r="C296" s="922"/>
      <c r="D296" s="1204">
        <v>10</v>
      </c>
      <c r="E296" s="1191">
        <v>20</v>
      </c>
      <c r="F296" s="1191">
        <v>50</v>
      </c>
      <c r="G296" s="1191">
        <v>100</v>
      </c>
      <c r="H296" s="1191">
        <v>200</v>
      </c>
      <c r="I296" s="1191">
        <v>500</v>
      </c>
      <c r="J296" s="1865">
        <v>1000</v>
      </c>
      <c r="K296" s="1865">
        <v>2000</v>
      </c>
      <c r="L296" s="1865">
        <v>5000</v>
      </c>
      <c r="M296" s="1865">
        <v>8000</v>
      </c>
      <c r="N296" s="1865">
        <v>10000</v>
      </c>
      <c r="O296" s="17"/>
      <c r="P296" s="1210">
        <f ca="1">IF(U296&lt;=$D$296,$D$296,INDEX($D$296:$N$296,1,MATCH(U296,$D$296:$N$296,1)))</f>
        <v>10</v>
      </c>
      <c r="Q296" s="1211">
        <f ca="1">IF(OR(U296&lt;=$D$296,U296&gt;=$N$296),P296,INDEX($D$296:$N$296,1,MATCH(U296,$D$296:$N$296,1)+1))</f>
        <v>10</v>
      </c>
      <c r="R296" s="1210">
        <f ca="1">INDEX($D$297:$N$301,LCT,MATCH(P296,$D$296:$N$296,1))</f>
        <v>1.147</v>
      </c>
      <c r="S296" s="1211">
        <f ca="1">INDEX($D$297:$N$301,LCT,MATCH(Q296,$D$296:$N$296,1))</f>
        <v>1.147</v>
      </c>
      <c r="T296" s="1212">
        <f ca="1">IF(R296=S296,S296,S296-(S296-R296)/(Q296-P296)*(Q296-U296))</f>
        <v>1.147</v>
      </c>
      <c r="U296" s="1519">
        <f ca="1">D6</f>
        <v>0</v>
      </c>
      <c r="V296" s="1521">
        <f>IF(AA296&lt;=$D$296,$D$296,INDEX($D$296:$N$296,1,MATCH(AA296,$D$296:$N$296,1)))</f>
        <v>10</v>
      </c>
      <c r="W296" s="1211">
        <f>IF(OR(AA296&lt;=$D$296,AA296&gt;=$N$296),V296,INDEX($D$296:$N$296,1,MATCH(AA296,$D$296:$N$296,1)+1))</f>
        <v>10</v>
      </c>
      <c r="X296" s="1210">
        <f>INDEX($D$297:$N$301,LCT,MATCH(V296,$D$296:$N$296,1))</f>
        <v>1.147</v>
      </c>
      <c r="Y296" s="1211">
        <f>INDEX($D$297:$N$301,LCT,MATCH(W296,$D$296:$N$296,1))</f>
        <v>1.147</v>
      </c>
      <c r="Z296" s="1212">
        <f>IF(X296=Y296,Y296,Y296-(Y296-X296)/(W296-V296)*(W296-AA296))</f>
        <v>1.147</v>
      </c>
      <c r="AA296" s="1213">
        <f>E6</f>
        <v>0</v>
      </c>
    </row>
    <row r="297" spans="1:27">
      <c r="B297" s="1191">
        <v>1</v>
      </c>
      <c r="C297" s="1192" t="s">
        <v>34</v>
      </c>
      <c r="D297" s="990">
        <v>0.84399999999999997</v>
      </c>
      <c r="E297" s="990">
        <v>0.71499999999999997</v>
      </c>
      <c r="F297" s="990">
        <v>0.59599999999999997</v>
      </c>
      <c r="G297" s="990">
        <v>0.39400000000000002</v>
      </c>
      <c r="H297" s="990">
        <v>0.30499999999999999</v>
      </c>
      <c r="I297" s="990">
        <v>0.26100000000000001</v>
      </c>
      <c r="J297" s="990">
        <v>0.17599999999999999</v>
      </c>
      <c r="K297" s="990">
        <v>0.153</v>
      </c>
      <c r="L297" s="990">
        <v>0.13200000000000001</v>
      </c>
      <c r="M297" s="990">
        <v>0.112</v>
      </c>
      <c r="N297" s="990">
        <v>0.11</v>
      </c>
      <c r="O297" s="17"/>
      <c r="V297" s="1520"/>
      <c r="W297" s="1219"/>
      <c r="X297" s="1219"/>
      <c r="Y297" s="1219"/>
      <c r="Z297" s="1219"/>
      <c r="AA297" s="1219"/>
    </row>
    <row r="298" spans="1:27">
      <c r="B298" s="1191">
        <v>2</v>
      </c>
      <c r="C298" s="1192" t="s">
        <v>35</v>
      </c>
      <c r="D298" s="990">
        <v>1.147</v>
      </c>
      <c r="E298" s="990">
        <v>1.0049999999999999</v>
      </c>
      <c r="F298" s="990">
        <v>0.95799999999999996</v>
      </c>
      <c r="G298" s="990">
        <v>0.81100000000000005</v>
      </c>
      <c r="H298" s="990">
        <v>0.49</v>
      </c>
      <c r="I298" s="990">
        <v>0.42199999999999999</v>
      </c>
      <c r="J298" s="990">
        <v>0.35599999999999998</v>
      </c>
      <c r="K298" s="990">
        <v>0.309</v>
      </c>
      <c r="L298" s="990">
        <v>0.27</v>
      </c>
      <c r="M298" s="990">
        <v>0.23</v>
      </c>
      <c r="N298" s="990">
        <v>0.21</v>
      </c>
      <c r="O298" s="17"/>
      <c r="V298" s="1520"/>
      <c r="W298" s="1219"/>
      <c r="X298" s="1219"/>
      <c r="Y298" s="1219"/>
      <c r="Z298" s="1219"/>
      <c r="AA298" s="1219"/>
    </row>
    <row r="299" spans="1:27">
      <c r="B299" s="1191">
        <v>3</v>
      </c>
      <c r="C299" s="1192" t="s">
        <v>36</v>
      </c>
      <c r="D299" s="990">
        <v>0.67700000000000005</v>
      </c>
      <c r="E299" s="990">
        <v>0.57999999999999996</v>
      </c>
      <c r="F299" s="990">
        <v>0.48599999999999999</v>
      </c>
      <c r="G299" s="990">
        <v>0.32</v>
      </c>
      <c r="H299" s="990">
        <v>0.26100000000000001</v>
      </c>
      <c r="I299" s="990">
        <v>0.217</v>
      </c>
      <c r="J299" s="990">
        <v>0.14599999999999999</v>
      </c>
      <c r="K299" s="990">
        <v>0.127</v>
      </c>
      <c r="L299" s="990">
        <v>0.11</v>
      </c>
      <c r="M299" s="990">
        <v>9.1999999999999998E-2</v>
      </c>
      <c r="N299" s="990">
        <v>8.5000000000000006E-2</v>
      </c>
      <c r="O299" s="17"/>
      <c r="V299" s="1520"/>
      <c r="W299" s="1219"/>
      <c r="X299" s="1219"/>
      <c r="Y299" s="1219"/>
      <c r="Z299" s="1219"/>
      <c r="AA299" s="1219"/>
    </row>
    <row r="300" spans="1:27">
      <c r="B300" s="1191">
        <v>4</v>
      </c>
      <c r="C300" s="1192" t="s">
        <v>375</v>
      </c>
      <c r="D300" s="990">
        <v>0.71799999999999997</v>
      </c>
      <c r="E300" s="990">
        <v>0.58499999999999996</v>
      </c>
      <c r="F300" s="990">
        <v>0.52</v>
      </c>
      <c r="G300" s="990">
        <v>0.34399999999999997</v>
      </c>
      <c r="H300" s="990">
        <v>0.27600000000000002</v>
      </c>
      <c r="I300" s="990">
        <v>0.23200000000000001</v>
      </c>
      <c r="J300" s="990">
        <v>0.159</v>
      </c>
      <c r="K300" s="990">
        <v>0.13800000000000001</v>
      </c>
      <c r="L300" s="990">
        <v>0.12</v>
      </c>
      <c r="M300" s="990">
        <v>9.8000000000000004E-2</v>
      </c>
      <c r="N300" s="990">
        <v>9.0999999999999998E-2</v>
      </c>
      <c r="O300" s="17"/>
      <c r="V300" s="1520"/>
      <c r="W300" s="1219"/>
      <c r="X300" s="1219"/>
      <c r="Y300" s="1219"/>
      <c r="Z300" s="1219"/>
      <c r="AA300" s="1219"/>
    </row>
    <row r="301" spans="1:27">
      <c r="B301" s="1191">
        <v>5</v>
      </c>
      <c r="C301" s="1192" t="s">
        <v>38</v>
      </c>
      <c r="D301" s="990">
        <v>0.80300000000000005</v>
      </c>
      <c r="E301" s="990">
        <v>0.69</v>
      </c>
      <c r="F301" s="990">
        <v>0.57499999999999996</v>
      </c>
      <c r="G301" s="990">
        <v>0.38300000000000001</v>
      </c>
      <c r="H301" s="990">
        <v>0.3</v>
      </c>
      <c r="I301" s="990">
        <v>0.26100000000000001</v>
      </c>
      <c r="J301" s="990">
        <v>0.17299999999999999</v>
      </c>
      <c r="K301" s="990">
        <v>0.15</v>
      </c>
      <c r="L301" s="990">
        <v>0.126</v>
      </c>
      <c r="M301" s="990">
        <v>0.105</v>
      </c>
      <c r="N301" s="990">
        <v>9.5000000000000001E-2</v>
      </c>
      <c r="O301" s="17"/>
      <c r="V301" s="1520"/>
      <c r="W301" s="1219"/>
      <c r="X301" s="1219"/>
      <c r="Y301" s="1219"/>
      <c r="Z301" s="1219"/>
      <c r="AA301" s="1219"/>
    </row>
    <row r="302" spans="1:27">
      <c r="B302" s="17"/>
      <c r="C302" s="17"/>
      <c r="D302" s="17"/>
      <c r="E302" s="17"/>
      <c r="F302" s="17"/>
      <c r="G302" s="17"/>
      <c r="H302" s="17"/>
      <c r="I302" s="17"/>
      <c r="J302" s="17"/>
      <c r="K302" s="17"/>
      <c r="L302" s="17"/>
      <c r="M302" s="17"/>
      <c r="N302" s="17"/>
      <c r="O302" s="17"/>
      <c r="V302" s="1520"/>
      <c r="W302" s="1219"/>
      <c r="X302" s="1219"/>
      <c r="Y302" s="1219"/>
      <c r="Z302" s="1219"/>
      <c r="AA302" s="1219"/>
    </row>
    <row r="303" spans="1:27">
      <c r="B303" s="1885" t="s">
        <v>764</v>
      </c>
      <c r="C303" s="17"/>
      <c r="D303" s="17"/>
      <c r="E303" s="17"/>
      <c r="F303" s="17"/>
      <c r="G303" s="17"/>
      <c r="H303" s="17"/>
      <c r="I303" s="17"/>
      <c r="J303" s="17"/>
      <c r="K303" s="17"/>
      <c r="L303" s="17"/>
      <c r="M303" s="17"/>
      <c r="N303" s="17"/>
      <c r="O303" s="17"/>
      <c r="V303" s="1520"/>
      <c r="W303" s="1219"/>
      <c r="X303" s="1219"/>
      <c r="Y303" s="1219"/>
      <c r="Z303" s="1219"/>
      <c r="AA303" s="1219"/>
    </row>
    <row r="304" spans="1:27">
      <c r="C304" s="17"/>
      <c r="D304" s="17"/>
      <c r="E304" s="17"/>
      <c r="F304" s="17"/>
      <c r="H304" s="1184" t="s">
        <v>66</v>
      </c>
      <c r="I304" s="17"/>
      <c r="J304" s="17"/>
      <c r="K304" s="17"/>
      <c r="L304" s="17"/>
      <c r="M304" s="17"/>
      <c r="N304" s="17"/>
      <c r="O304" s="17"/>
      <c r="P304" s="1210" t="s">
        <v>69</v>
      </c>
      <c r="Q304" s="1211" t="s">
        <v>70</v>
      </c>
      <c r="R304" s="1210" t="s">
        <v>71</v>
      </c>
      <c r="S304" s="1211" t="s">
        <v>72</v>
      </c>
      <c r="T304" s="1212" t="s">
        <v>641</v>
      </c>
      <c r="U304" s="1213" t="s">
        <v>411</v>
      </c>
      <c r="V304" s="1521" t="s">
        <v>69</v>
      </c>
      <c r="W304" s="1211" t="s">
        <v>70</v>
      </c>
      <c r="X304" s="1210" t="s">
        <v>71</v>
      </c>
      <c r="Y304" s="1211" t="s">
        <v>72</v>
      </c>
      <c r="Z304" s="1212" t="s">
        <v>641</v>
      </c>
      <c r="AA304" s="1213" t="s">
        <v>411</v>
      </c>
    </row>
    <row r="305" spans="1:27" ht="31.5">
      <c r="A305" s="55" t="s">
        <v>1483</v>
      </c>
      <c r="B305" s="1185" t="s">
        <v>33</v>
      </c>
      <c r="C305" s="1197"/>
      <c r="D305" s="1562" t="s">
        <v>634</v>
      </c>
      <c r="E305" s="1194"/>
      <c r="F305" s="1194"/>
      <c r="G305" s="1207"/>
      <c r="H305" s="1188"/>
      <c r="I305" s="17"/>
      <c r="J305" s="17"/>
      <c r="K305" s="17"/>
      <c r="L305" s="17"/>
      <c r="M305" s="17"/>
      <c r="N305" s="17"/>
      <c r="O305" s="17"/>
      <c r="P305" s="1210"/>
      <c r="Q305" s="1211"/>
      <c r="R305" s="1210"/>
      <c r="S305" s="1211"/>
      <c r="T305" s="1212"/>
      <c r="U305" s="1213"/>
      <c r="V305" s="1521"/>
      <c r="W305" s="1211"/>
      <c r="X305" s="1210"/>
      <c r="Y305" s="1211"/>
      <c r="Z305" s="1212"/>
      <c r="AA305" s="1213"/>
    </row>
    <row r="306" spans="1:27">
      <c r="B306" s="922"/>
      <c r="C306" s="1561"/>
      <c r="D306" s="1204">
        <v>1</v>
      </c>
      <c r="E306" s="1191">
        <v>5</v>
      </c>
      <c r="F306" s="1191">
        <v>10</v>
      </c>
      <c r="G306" s="1191">
        <v>20</v>
      </c>
      <c r="H306" s="912">
        <v>50</v>
      </c>
      <c r="I306" s="17"/>
      <c r="J306" s="17"/>
      <c r="K306" s="17"/>
      <c r="L306" s="17"/>
      <c r="M306" s="17"/>
      <c r="N306" s="17"/>
      <c r="O306" s="17"/>
      <c r="P306" s="1210">
        <f>IF(U306&lt;=$D$306,$D$306,INDEX($D$306:$H$306,1,MATCH(U306,$D$306:$H$306,1)))</f>
        <v>1</v>
      </c>
      <c r="Q306" s="1211">
        <f>IF(OR(U306&lt;=$D$306,U306&gt;=$H$306),P306,INDEX($D$306:$H$306,1,MATCH(U306,$D$306:$H$306,1)+1))</f>
        <v>1</v>
      </c>
      <c r="R306" s="1210">
        <f>INDEX($D$307:$H$307,1,MATCH(P306,$D$306:$H$306,1))</f>
        <v>4.0720000000000001</v>
      </c>
      <c r="S306" s="1211">
        <f>INDEX($D$307:$H$307,1,MATCH(Q306,$D$306:$H$306,1))</f>
        <v>4.0720000000000001</v>
      </c>
      <c r="T306" s="1212">
        <f>IF(R306=S306,S306,S306-(S306-R306)/(Q306-P306)*(Q306-U306))</f>
        <v>4.0720000000000001</v>
      </c>
      <c r="U306" s="1519">
        <f>D14</f>
        <v>0</v>
      </c>
      <c r="V306" s="1521">
        <f>IF(AA306&lt;=$D$306,$D$306,INDEX($D$306:$H$306,1,MATCH(AA306,$D$306:$H$306,1)))</f>
        <v>1</v>
      </c>
      <c r="W306" s="1211">
        <f>IF(OR(AA306&lt;=$D$306,AA306&gt;=$H$306),V306,INDEX($D$306:$H$306,1,MATCH(AA306,$D$306:$H$306,1)+1))</f>
        <v>1</v>
      </c>
      <c r="X306" s="1210">
        <f>INDEX($D$307:$H$307,1,MATCH(V306,$D$306:$H$306,1))</f>
        <v>4.0720000000000001</v>
      </c>
      <c r="Y306" s="1211">
        <f>INDEX($D$307:$H$307,1,MATCH(W306,$D$306:$H$306,1))</f>
        <v>4.0720000000000001</v>
      </c>
      <c r="Z306" s="1212">
        <f>IF(X306=Y306,Y306,Y306-(Y306-X306)/(W306-V306)*(W306-AA306))</f>
        <v>4.0720000000000001</v>
      </c>
      <c r="AA306" s="1213">
        <f>E14</f>
        <v>0</v>
      </c>
    </row>
    <row r="307" spans="1:27">
      <c r="B307" s="1191">
        <v>1</v>
      </c>
      <c r="C307" s="1327" t="s">
        <v>271</v>
      </c>
      <c r="D307" s="1205">
        <v>4.0720000000000001</v>
      </c>
      <c r="E307" s="1189">
        <v>3.5409999999999999</v>
      </c>
      <c r="F307" s="1189">
        <v>3.0790000000000002</v>
      </c>
      <c r="G307" s="912">
        <v>2.7069999999999999</v>
      </c>
      <c r="H307" s="912">
        <v>2.3809999999999998</v>
      </c>
      <c r="I307" s="17"/>
      <c r="J307" s="17"/>
      <c r="K307" s="17"/>
      <c r="L307" s="17"/>
      <c r="M307" s="17"/>
      <c r="N307" s="17"/>
      <c r="O307" s="17"/>
      <c r="V307" s="1520"/>
      <c r="W307" s="1219"/>
      <c r="X307" s="1219"/>
      <c r="Y307" s="1219"/>
      <c r="Z307" s="1219"/>
      <c r="AA307" s="1219"/>
    </row>
    <row r="308" spans="1:27">
      <c r="B308" s="17"/>
      <c r="C308" s="17"/>
      <c r="D308" s="17"/>
      <c r="E308" s="17"/>
      <c r="F308" s="17"/>
      <c r="G308" s="17"/>
      <c r="H308" s="17"/>
      <c r="I308" s="17"/>
      <c r="J308" s="17"/>
      <c r="K308" s="17"/>
      <c r="L308" s="17"/>
      <c r="M308" s="17"/>
      <c r="N308" s="17"/>
      <c r="O308" s="17"/>
      <c r="V308" s="1520"/>
      <c r="W308" s="1219"/>
      <c r="X308" s="1219"/>
      <c r="Y308" s="1219"/>
      <c r="Z308" s="1219"/>
      <c r="AA308" s="1219"/>
    </row>
    <row r="309" spans="1:27">
      <c r="B309" s="1885" t="s">
        <v>765</v>
      </c>
      <c r="C309" s="17"/>
      <c r="D309" s="17"/>
      <c r="E309" s="17"/>
      <c r="F309" s="17"/>
      <c r="G309" s="17"/>
      <c r="H309" s="17"/>
      <c r="I309" s="17"/>
      <c r="K309" s="17"/>
      <c r="L309" s="17"/>
      <c r="M309" s="17"/>
      <c r="N309" s="17"/>
      <c r="O309" s="17"/>
      <c r="V309" s="1520"/>
      <c r="W309" s="1219"/>
      <c r="X309" s="1219"/>
      <c r="Y309" s="1219"/>
      <c r="Z309" s="1219"/>
      <c r="AA309" s="1219"/>
    </row>
    <row r="310" spans="1:27">
      <c r="C310" s="17"/>
      <c r="D310" s="17"/>
      <c r="E310" s="17"/>
      <c r="F310" s="17"/>
      <c r="H310" s="17"/>
      <c r="I310" s="17"/>
      <c r="J310" s="1184" t="s">
        <v>66</v>
      </c>
      <c r="K310" s="17"/>
      <c r="L310" s="17"/>
      <c r="M310" s="17"/>
      <c r="N310" s="17"/>
      <c r="O310" s="17"/>
      <c r="P310" s="1210" t="s">
        <v>69</v>
      </c>
      <c r="Q310" s="1211" t="s">
        <v>70</v>
      </c>
      <c r="R310" s="1210" t="s">
        <v>71</v>
      </c>
      <c r="S310" s="1211" t="s">
        <v>72</v>
      </c>
      <c r="T310" s="1212" t="s">
        <v>641</v>
      </c>
      <c r="U310" s="1213" t="s">
        <v>411</v>
      </c>
      <c r="V310" s="1521" t="s">
        <v>69</v>
      </c>
      <c r="W310" s="1211" t="s">
        <v>70</v>
      </c>
      <c r="X310" s="1210" t="s">
        <v>71</v>
      </c>
      <c r="Y310" s="1211" t="s">
        <v>72</v>
      </c>
      <c r="Z310" s="1212" t="s">
        <v>641</v>
      </c>
      <c r="AA310" s="1213" t="s">
        <v>411</v>
      </c>
    </row>
    <row r="311" spans="1:27">
      <c r="A311" s="55" t="s">
        <v>1482</v>
      </c>
      <c r="B311" s="1185" t="s">
        <v>33</v>
      </c>
      <c r="C311" s="1197"/>
      <c r="D311" s="1562" t="s">
        <v>864</v>
      </c>
      <c r="E311" s="1194"/>
      <c r="F311" s="1194"/>
      <c r="G311" s="1207"/>
      <c r="H311" s="1194"/>
      <c r="I311" s="1194"/>
      <c r="J311" s="1188"/>
      <c r="K311" s="17"/>
      <c r="L311" s="17"/>
      <c r="M311" s="17"/>
      <c r="N311" s="17"/>
      <c r="O311" s="17"/>
      <c r="P311" s="1210"/>
      <c r="Q311" s="1211"/>
      <c r="R311" s="1210"/>
      <c r="S311" s="1211"/>
      <c r="T311" s="1212"/>
      <c r="U311" s="1213"/>
      <c r="V311" s="1521"/>
      <c r="W311" s="1211"/>
      <c r="X311" s="1210"/>
      <c r="Y311" s="1211"/>
      <c r="Z311" s="1212"/>
      <c r="AA311" s="1213"/>
    </row>
    <row r="312" spans="1:27">
      <c r="B312" s="922"/>
      <c r="C312" s="1561"/>
      <c r="D312" s="1204">
        <v>100</v>
      </c>
      <c r="E312" s="1191">
        <v>300</v>
      </c>
      <c r="F312" s="1191">
        <v>500</v>
      </c>
      <c r="G312" s="1191">
        <v>1000</v>
      </c>
      <c r="H312" s="912">
        <v>2000</v>
      </c>
      <c r="I312" s="912">
        <v>5000</v>
      </c>
      <c r="J312" s="1206">
        <v>10000</v>
      </c>
      <c r="K312" s="17"/>
      <c r="L312" s="17"/>
      <c r="M312" s="17"/>
      <c r="N312" s="17"/>
      <c r="O312" s="17"/>
      <c r="P312" s="1210">
        <f>IF(U312&lt;=$D$312,$D$312,INDEX($D$312:$J$312,1,MATCH(U312,$D$312:$J$312,1)))</f>
        <v>100</v>
      </c>
      <c r="Q312" s="1211">
        <f>IF(OR(U312&lt;=$D$312,U312&gt;=$J$312),P312,INDEX($D$312:$J$312,1,MATCH(U312,$D$312:$J$312,1)+1))</f>
        <v>100</v>
      </c>
      <c r="R312" s="1210">
        <f>INDEX($D$313:$J$313,1,MATCH(P312,$D$312:$J$312,1))</f>
        <v>0.109</v>
      </c>
      <c r="S312" s="1211">
        <f>INDEX($D$313:$J$313,1,MATCH(Q312,$D$312:$J$312,1))</f>
        <v>0.109</v>
      </c>
      <c r="T312" s="1212">
        <f>IF(R312=S312,S312,S312-(S312-R312)/(Q312-P312)*(Q312-U312))</f>
        <v>0.109</v>
      </c>
      <c r="U312" s="1519">
        <f>D8</f>
        <v>0</v>
      </c>
      <c r="V312" s="1521">
        <f>IF(AA312&lt;=$D$312,$D$312,INDEX($D$312:$J$312,1,MATCH(AA312,$D$312:$J$312,1)))</f>
        <v>100</v>
      </c>
      <c r="W312" s="1211">
        <f>IF(OR(AA312&lt;=$D$312,AA312&gt;=$J$312),V312,INDEX($D$312:$J$312,1,MATCH(AA312,$D$312:$J$312,1)+1))</f>
        <v>100</v>
      </c>
      <c r="X312" s="1210">
        <f>INDEX($D$313:$J$313,1,MATCH(V312,$D$312:$J$312,1))</f>
        <v>0.109</v>
      </c>
      <c r="Y312" s="1211">
        <f>INDEX($D$313:$J$313,1,MATCH(W312,$D$312:$J$312,1))</f>
        <v>0.109</v>
      </c>
      <c r="Z312" s="1212">
        <f>IF(X312=Y312,Y312,Y312-(Y312-X312)/(W312-V312)*(W312-AA312))</f>
        <v>0.109</v>
      </c>
      <c r="AA312" s="1519">
        <f>E8</f>
        <v>0</v>
      </c>
    </row>
    <row r="313" spans="1:27">
      <c r="B313" s="1191">
        <v>1</v>
      </c>
      <c r="C313" s="1327" t="s">
        <v>271</v>
      </c>
      <c r="D313" s="1205">
        <v>0.109</v>
      </c>
      <c r="E313" s="1189">
        <v>6.5000000000000002E-2</v>
      </c>
      <c r="F313" s="1189">
        <v>5.2999999999999999E-2</v>
      </c>
      <c r="G313" s="912">
        <v>3.6999999999999998E-2</v>
      </c>
      <c r="H313" s="912">
        <v>3.4000000000000002E-2</v>
      </c>
      <c r="I313" s="912">
        <v>2.5000000000000001E-2</v>
      </c>
      <c r="J313" s="912">
        <v>0.02</v>
      </c>
      <c r="K313" s="17"/>
      <c r="L313" s="17"/>
      <c r="M313" s="17"/>
      <c r="N313" s="17"/>
      <c r="O313" s="17"/>
      <c r="V313" s="1520"/>
      <c r="W313" s="1219"/>
      <c r="X313" s="1219"/>
      <c r="Y313" s="1219"/>
      <c r="Z313" s="1219"/>
      <c r="AA313" s="1219"/>
    </row>
    <row r="314" spans="1:27">
      <c r="B314" s="17"/>
      <c r="C314" s="17"/>
      <c r="D314" s="17"/>
      <c r="E314" s="17"/>
      <c r="F314" s="17"/>
      <c r="G314" s="17"/>
      <c r="H314" s="17"/>
      <c r="I314" s="17"/>
      <c r="J314" s="17"/>
      <c r="K314" s="17"/>
      <c r="L314" s="17"/>
      <c r="M314" s="17"/>
      <c r="N314" s="17"/>
      <c r="O314" s="17"/>
      <c r="V314" s="1520"/>
      <c r="W314" s="1219"/>
      <c r="X314" s="1219"/>
      <c r="Y314" s="1219"/>
      <c r="Z314" s="1219"/>
      <c r="AA314" s="1219"/>
    </row>
    <row r="315" spans="1:27">
      <c r="B315" s="1885" t="s">
        <v>1437</v>
      </c>
      <c r="C315" s="53"/>
      <c r="D315" s="17"/>
      <c r="E315" s="17"/>
      <c r="F315" s="17"/>
      <c r="G315" s="17"/>
      <c r="H315" s="17"/>
      <c r="I315" s="17"/>
      <c r="J315" s="17"/>
      <c r="K315" s="17"/>
      <c r="L315" s="17"/>
      <c r="M315" s="17"/>
      <c r="N315" s="17"/>
      <c r="O315" s="17"/>
      <c r="V315" s="1520"/>
      <c r="W315" s="1219"/>
      <c r="X315" s="1219"/>
      <c r="Y315" s="1219"/>
      <c r="Z315" s="1219"/>
      <c r="AA315" s="1219"/>
    </row>
    <row r="316" spans="1:27">
      <c r="B316" s="17"/>
      <c r="C316" s="53"/>
      <c r="D316" s="17"/>
      <c r="E316" s="17"/>
      <c r="F316" s="17"/>
      <c r="G316" s="17"/>
      <c r="H316" s="17"/>
      <c r="I316" s="17"/>
      <c r="J316" s="17"/>
      <c r="K316" s="17"/>
      <c r="L316" s="17"/>
      <c r="M316" s="17"/>
      <c r="N316" s="17"/>
      <c r="O316" s="17"/>
      <c r="V316" s="1520"/>
      <c r="W316" s="1219"/>
      <c r="X316" s="1219"/>
      <c r="Y316" s="1219"/>
      <c r="Z316" s="1219"/>
      <c r="AA316" s="1219"/>
    </row>
    <row r="317" spans="1:27" ht="31.5">
      <c r="A317" s="55" t="s">
        <v>1482</v>
      </c>
      <c r="B317" s="1197" t="s">
        <v>33</v>
      </c>
      <c r="C317" s="921" t="s">
        <v>90</v>
      </c>
      <c r="D317" s="1563" t="s">
        <v>1032</v>
      </c>
      <c r="E317" s="1564"/>
      <c r="F317" s="1563"/>
      <c r="G317" s="1563"/>
      <c r="H317" s="1563"/>
      <c r="I317" s="1563"/>
      <c r="J317" s="1563"/>
      <c r="K317" s="17"/>
      <c r="L317" s="17"/>
      <c r="M317" s="17"/>
      <c r="N317" s="17"/>
      <c r="O317" s="17"/>
      <c r="V317" s="1520"/>
      <c r="W317" s="1219"/>
      <c r="X317" s="1219"/>
      <c r="Y317" s="1219"/>
      <c r="Z317" s="1219"/>
      <c r="AA317" s="1219"/>
    </row>
    <row r="318" spans="1:27">
      <c r="B318" s="1189"/>
      <c r="C318" s="922"/>
      <c r="D318" s="1204">
        <v>5</v>
      </c>
      <c r="E318" s="911">
        <v>10</v>
      </c>
      <c r="F318" s="911">
        <v>50</v>
      </c>
      <c r="G318" s="911">
        <v>100</v>
      </c>
      <c r="H318" s="911">
        <v>500</v>
      </c>
      <c r="I318" s="911">
        <v>1000</v>
      </c>
      <c r="J318" s="1866">
        <v>10000</v>
      </c>
      <c r="K318" s="17"/>
      <c r="L318" s="17"/>
      <c r="M318" s="17"/>
      <c r="N318" s="17"/>
      <c r="O318" s="17"/>
      <c r="P318" s="1210" t="s">
        <v>69</v>
      </c>
      <c r="Q318" s="1211" t="s">
        <v>70</v>
      </c>
      <c r="R318" s="1210" t="s">
        <v>71</v>
      </c>
      <c r="S318" s="1211" t="s">
        <v>72</v>
      </c>
      <c r="T318" s="1212" t="s">
        <v>641</v>
      </c>
      <c r="U318" s="1213" t="s">
        <v>411</v>
      </c>
      <c r="V318" s="1521" t="s">
        <v>69</v>
      </c>
      <c r="W318" s="1211" t="s">
        <v>70</v>
      </c>
      <c r="X318" s="1210" t="s">
        <v>71</v>
      </c>
      <c r="Y318" s="1211" t="s">
        <v>72</v>
      </c>
      <c r="Z318" s="1212" t="s">
        <v>641</v>
      </c>
      <c r="AA318" s="1213" t="s">
        <v>411</v>
      </c>
    </row>
    <row r="319" spans="1:27">
      <c r="B319" s="911">
        <v>1</v>
      </c>
      <c r="C319" s="912" t="s">
        <v>798</v>
      </c>
      <c r="D319" s="912">
        <v>0.96</v>
      </c>
      <c r="E319" s="912">
        <v>0.64500000000000002</v>
      </c>
      <c r="F319" s="912">
        <v>0.45</v>
      </c>
      <c r="G319" s="912">
        <v>0.34499999999999997</v>
      </c>
      <c r="H319" s="912">
        <v>0.19500000000000001</v>
      </c>
      <c r="I319" s="912">
        <v>0.129</v>
      </c>
      <c r="J319" s="912">
        <v>6.9000000000000006E-2</v>
      </c>
      <c r="K319" s="17"/>
      <c r="L319" s="17"/>
      <c r="M319" s="17"/>
      <c r="N319" s="17"/>
      <c r="O319" s="17"/>
      <c r="P319" s="1210">
        <f>IF(U319&lt;=$D$318,$D$318,INDEX($D$318:$J$318,1,MATCH(U319,$D$318:$J$318,1)))</f>
        <v>5</v>
      </c>
      <c r="Q319" s="1211">
        <f>IF(OR(U319&lt;=$D$318,U319&gt;=$J$318),P319,INDEX($D$318:$J$318,1,MATCH(U319,$D$318:$J$318,1)+1))</f>
        <v>5</v>
      </c>
      <c r="R319" s="1210">
        <f>INDEX($D$319:$J$319,1,MATCH(P319,$D$318:$J$318,1))</f>
        <v>0.96</v>
      </c>
      <c r="S319" s="1211">
        <f>INDEX($D$319:$J$319,1,MATCH(Q319,$D$318:$J$318,1))</f>
        <v>0.96</v>
      </c>
      <c r="T319" s="1212">
        <f>IF(R319=S319,S319,S319-(S319-R319)/(Q319-P319)*(Q319-U319))</f>
        <v>0.96</v>
      </c>
      <c r="U319" s="1213">
        <f>GQTDA/10^9</f>
        <v>0</v>
      </c>
      <c r="V319" s="1521">
        <f>IF(AA319&lt;=$D$318,$D$318,INDEX($D$318:$J$318,1,MATCH(AA319,$D$318:$J$318,1)))</f>
        <v>5</v>
      </c>
      <c r="W319" s="1211">
        <f>IF(OR(AA319&lt;=$D$318,AA319&gt;=$J$318),V319,INDEX($D$318:$J$318,1,MATCH(AA319,$D$318:$J$318,1)+1))</f>
        <v>5</v>
      </c>
      <c r="X319" s="1210">
        <f>INDEX($D$319:$J$319,1,MATCH(V319,$D$318:$J$318,1))</f>
        <v>0.96</v>
      </c>
      <c r="Y319" s="1211">
        <f>INDEX($D$319:$J$319,1,MATCH(W319,$D$318:$J$318,1))</f>
        <v>0.96</v>
      </c>
      <c r="Z319" s="1212">
        <f>IF(X319=Y319,Y319,Y319-(Y319-X319)/(W319-V319)*(W319-AA319))</f>
        <v>0.96</v>
      </c>
      <c r="AA319" s="1213">
        <f>GQTDA/10^9</f>
        <v>0</v>
      </c>
    </row>
    <row r="320" spans="1:27">
      <c r="B320" s="1594"/>
      <c r="C320" s="1595"/>
      <c r="D320" s="1595"/>
      <c r="E320" s="1595"/>
      <c r="F320" s="1595"/>
      <c r="G320" s="1595"/>
      <c r="H320" s="1595"/>
      <c r="I320" s="1595"/>
      <c r="J320" s="1595"/>
      <c r="K320" s="17"/>
      <c r="L320" s="17"/>
      <c r="M320" s="17"/>
      <c r="N320" s="17"/>
      <c r="O320" s="17"/>
      <c r="V320" s="1520"/>
      <c r="W320" s="1219"/>
      <c r="X320" s="1219"/>
      <c r="Y320" s="1219"/>
      <c r="Z320" s="1219"/>
      <c r="AA320" s="1219"/>
    </row>
    <row r="321" spans="1:27">
      <c r="B321" s="1885" t="s">
        <v>1436</v>
      </c>
      <c r="C321" s="17"/>
      <c r="D321" s="17"/>
      <c r="E321" s="17"/>
      <c r="F321" s="17"/>
      <c r="G321" s="17"/>
      <c r="H321" s="17"/>
      <c r="I321" s="17"/>
      <c r="J321" s="17"/>
      <c r="K321" s="17"/>
      <c r="L321" s="17"/>
      <c r="M321" s="17"/>
      <c r="N321" s="17"/>
      <c r="O321" s="17"/>
      <c r="V321" s="1520"/>
      <c r="W321" s="1219"/>
      <c r="X321" s="1219"/>
      <c r="Y321" s="1219"/>
      <c r="Z321" s="1219"/>
      <c r="AA321" s="1219"/>
    </row>
    <row r="322" spans="1:27">
      <c r="B322" s="1597"/>
      <c r="C322" s="1596"/>
      <c r="D322" s="1596"/>
      <c r="E322" s="1596"/>
      <c r="F322" s="1596"/>
      <c r="G322" s="1596"/>
      <c r="H322" s="1596"/>
      <c r="I322" s="1596"/>
      <c r="J322" s="1596"/>
      <c r="K322" s="17"/>
      <c r="L322" s="17"/>
      <c r="M322" s="17"/>
      <c r="N322" s="17"/>
      <c r="O322" s="17"/>
      <c r="V322" s="1520"/>
      <c r="W322" s="1219"/>
      <c r="X322" s="1219"/>
      <c r="Y322" s="1219"/>
      <c r="Z322" s="1219"/>
      <c r="AA322" s="1219"/>
    </row>
    <row r="323" spans="1:27" ht="31.5">
      <c r="A323" s="55" t="s">
        <v>1482</v>
      </c>
      <c r="B323" s="1197" t="s">
        <v>33</v>
      </c>
      <c r="C323" s="921" t="s">
        <v>90</v>
      </c>
      <c r="D323" s="1563" t="s">
        <v>1032</v>
      </c>
      <c r="E323" s="1564"/>
      <c r="F323" s="1563"/>
      <c r="G323" s="1563"/>
      <c r="H323" s="1563"/>
      <c r="I323" s="1563"/>
      <c r="J323" s="1563"/>
      <c r="K323" s="17"/>
      <c r="L323" s="17"/>
      <c r="M323" s="17"/>
      <c r="N323" s="17"/>
      <c r="O323" s="17"/>
      <c r="V323" s="1520"/>
      <c r="W323" s="1219"/>
      <c r="X323" s="1219"/>
      <c r="Y323" s="1219"/>
      <c r="Z323" s="1219"/>
      <c r="AA323" s="1219"/>
    </row>
    <row r="324" spans="1:27">
      <c r="B324" s="1189"/>
      <c r="C324" s="922"/>
      <c r="D324" s="1204">
        <v>5</v>
      </c>
      <c r="E324" s="911">
        <v>10</v>
      </c>
      <c r="F324" s="911">
        <v>50</v>
      </c>
      <c r="G324" s="911">
        <v>100</v>
      </c>
      <c r="H324" s="911">
        <v>500</v>
      </c>
      <c r="I324" s="911">
        <v>1000</v>
      </c>
      <c r="J324" s="1866">
        <v>10000</v>
      </c>
      <c r="K324" s="17"/>
      <c r="L324" s="17"/>
      <c r="M324" s="17"/>
      <c r="N324" s="17"/>
      <c r="O324" s="17"/>
      <c r="P324" s="1210" t="s">
        <v>69</v>
      </c>
      <c r="Q324" s="1211" t="s">
        <v>70</v>
      </c>
      <c r="R324" s="1210" t="s">
        <v>71</v>
      </c>
      <c r="S324" s="1211" t="s">
        <v>72</v>
      </c>
      <c r="T324" s="1212" t="s">
        <v>641</v>
      </c>
      <c r="U324" s="1213" t="s">
        <v>411</v>
      </c>
      <c r="V324" s="1521" t="s">
        <v>69</v>
      </c>
      <c r="W324" s="1211" t="s">
        <v>70</v>
      </c>
      <c r="X324" s="1210" t="s">
        <v>71</v>
      </c>
      <c r="Y324" s="1211" t="s">
        <v>72</v>
      </c>
      <c r="Z324" s="1212" t="s">
        <v>641</v>
      </c>
      <c r="AA324" s="1213" t="s">
        <v>411</v>
      </c>
    </row>
    <row r="325" spans="1:27">
      <c r="B325" s="911">
        <v>2</v>
      </c>
      <c r="C325" s="912" t="s">
        <v>1031</v>
      </c>
      <c r="D325" s="912">
        <v>0.56999999999999995</v>
      </c>
      <c r="E325" s="912">
        <v>0.39</v>
      </c>
      <c r="F325" s="912">
        <v>0.28499999999999998</v>
      </c>
      <c r="G325" s="912">
        <v>0.22500000000000001</v>
      </c>
      <c r="H325" s="912">
        <v>0.13500000000000001</v>
      </c>
      <c r="I325" s="912">
        <v>0.09</v>
      </c>
      <c r="J325" s="912">
        <v>4.8000000000000001E-2</v>
      </c>
      <c r="K325" s="17"/>
      <c r="L325" s="17"/>
      <c r="M325" s="17"/>
      <c r="N325" s="17"/>
      <c r="O325" s="17"/>
      <c r="P325" s="1210">
        <f>IF(U325&lt;=$D$318,$D$318,INDEX($D$318:$J$318,1,MATCH(U325,$D$318:$J$318,1)))</f>
        <v>5</v>
      </c>
      <c r="Q325" s="1211">
        <f>IF(OR(U325&lt;=$D$318,U325&gt;=$J$318),P325,INDEX($D$318:$J$318,1,MATCH(U325,$D$318:$J$318,1)+1))</f>
        <v>5</v>
      </c>
      <c r="R325" s="1210">
        <f>INDEX($D$325:$J$325,1,MATCH(P325,$D$318:$J$318,1))</f>
        <v>0.56999999999999995</v>
      </c>
      <c r="S325" s="1211">
        <f>INDEX($D$325:$J$325,1,MATCH(Q325,$D$318:$J$318,1))</f>
        <v>0.56999999999999995</v>
      </c>
      <c r="T325" s="1212">
        <f>IF(R325=S325,S325,S325-(S325-R325)/(Q325-P325)*(Q325-U325))</f>
        <v>0.56999999999999995</v>
      </c>
      <c r="U325" s="1213">
        <f>GQTDA/10^9</f>
        <v>0</v>
      </c>
      <c r="V325" s="1521">
        <f>IF(AA325&lt;=$D$318,$D$318,INDEX($D$318:$J$318,1,MATCH(AA325,$D$318:$J$318,1)))</f>
        <v>5</v>
      </c>
      <c r="W325" s="1211">
        <f>IF(OR(AA325&lt;=$D$318,AA325&gt;=$J$318),V325,INDEX($D$318:$J$318,1,MATCH(AA325,$D$318:$J$318,1)+1))</f>
        <v>5</v>
      </c>
      <c r="X325" s="1210">
        <f>INDEX($D$325:$J$325,1,MATCH(V325,$D$318:$J$318,1))</f>
        <v>0.56999999999999995</v>
      </c>
      <c r="Y325" s="1211">
        <f>INDEX($D$325:$J$325,1,MATCH(W325,$D$318:$J$318,1))</f>
        <v>0.56999999999999995</v>
      </c>
      <c r="Z325" s="1212">
        <f>IF(X325=Y325,Y325,Y325-(Y325-X325)/(W325-V325)*(W325-AA325))</f>
        <v>0.56999999999999995</v>
      </c>
      <c r="AA325" s="1213">
        <f>GQTDA/10^9</f>
        <v>0</v>
      </c>
    </row>
    <row r="326" spans="1:27">
      <c r="B326" s="17"/>
      <c r="K326" s="17"/>
      <c r="L326" s="17"/>
      <c r="M326" s="17"/>
      <c r="N326" s="17"/>
      <c r="O326" s="17"/>
      <c r="V326" s="1520"/>
      <c r="W326" s="1219"/>
      <c r="X326" s="1219"/>
      <c r="Y326" s="1219"/>
      <c r="Z326" s="1219"/>
      <c r="AA326" s="1219"/>
    </row>
    <row r="327" spans="1:27">
      <c r="B327" s="1885" t="s">
        <v>1498</v>
      </c>
      <c r="C327" s="993"/>
      <c r="V327" s="1520"/>
      <c r="W327" s="1219"/>
      <c r="X327" s="1219"/>
      <c r="Y327" s="1219"/>
      <c r="Z327" s="1219"/>
      <c r="AA327" s="1219"/>
    </row>
    <row r="328" spans="1:27">
      <c r="B328" s="1886" t="s">
        <v>1113</v>
      </c>
      <c r="C328" s="993"/>
      <c r="P328" s="1210" t="s">
        <v>69</v>
      </c>
      <c r="Q328" s="1211" t="s">
        <v>70</v>
      </c>
      <c r="R328" s="1210" t="s">
        <v>71</v>
      </c>
      <c r="S328" s="1211" t="s">
        <v>72</v>
      </c>
      <c r="T328" s="1212" t="s">
        <v>641</v>
      </c>
      <c r="U328" s="1213" t="s">
        <v>411</v>
      </c>
      <c r="V328" s="1521" t="s">
        <v>69</v>
      </c>
      <c r="W328" s="1211" t="s">
        <v>70</v>
      </c>
      <c r="X328" s="1210" t="s">
        <v>71</v>
      </c>
      <c r="Y328" s="1211" t="s">
        <v>72</v>
      </c>
      <c r="Z328" s="1212" t="s">
        <v>641</v>
      </c>
      <c r="AA328" s="1213" t="s">
        <v>411</v>
      </c>
    </row>
    <row r="329" spans="1:27">
      <c r="C329" s="993"/>
      <c r="P329" s="1210"/>
      <c r="Q329" s="1211"/>
      <c r="R329" s="1210"/>
      <c r="S329" s="1211"/>
      <c r="T329" s="1212"/>
      <c r="U329" s="1213"/>
      <c r="V329" s="1521"/>
      <c r="W329" s="1211"/>
      <c r="X329" s="1210"/>
      <c r="Y329" s="1211"/>
      <c r="Z329" s="1212"/>
      <c r="AA329" s="1213"/>
    </row>
    <row r="330" spans="1:27">
      <c r="A330" s="55" t="s">
        <v>1482</v>
      </c>
      <c r="B330" s="1185" t="s">
        <v>33</v>
      </c>
      <c r="C330" s="1565"/>
      <c r="D330" s="1554" t="s">
        <v>270</v>
      </c>
      <c r="E330" s="1207"/>
      <c r="F330" s="1207"/>
      <c r="G330" s="1207"/>
      <c r="H330" s="1207"/>
      <c r="I330" s="1207"/>
      <c r="J330" s="1207"/>
      <c r="K330" s="1207"/>
      <c r="L330" s="1207"/>
      <c r="M330" s="1566"/>
      <c r="P330" s="1210"/>
      <c r="Q330" s="1211"/>
      <c r="R330" s="1210"/>
      <c r="S330" s="1211"/>
      <c r="T330" s="1212"/>
      <c r="U330" s="1213"/>
      <c r="V330" s="1521"/>
      <c r="W330" s="1211"/>
      <c r="X330" s="1210"/>
      <c r="Y330" s="1211"/>
      <c r="Z330" s="1212"/>
      <c r="AA330" s="1213"/>
    </row>
    <row r="331" spans="1:27">
      <c r="B331" s="922"/>
      <c r="C331" s="1555"/>
      <c r="D331" s="1208">
        <v>15</v>
      </c>
      <c r="E331" s="1193">
        <v>25</v>
      </c>
      <c r="F331" s="1193">
        <v>50</v>
      </c>
      <c r="G331" s="1193">
        <v>100</v>
      </c>
      <c r="H331" s="1193">
        <v>200</v>
      </c>
      <c r="I331" s="1193">
        <v>500</v>
      </c>
      <c r="J331" s="1867">
        <v>1000</v>
      </c>
      <c r="K331" s="1867">
        <v>2000</v>
      </c>
      <c r="L331" s="1867">
        <v>5000</v>
      </c>
      <c r="M331" s="1868">
        <v>10000</v>
      </c>
      <c r="P331" s="1210">
        <f>IF(U331&lt;=$D$331,$D$331,INDEX($D$331:$M$331,1,MATCH(U331,$D$331:$M$331,1)))</f>
        <v>15</v>
      </c>
      <c r="Q331" s="1211">
        <f>IF(OR(U331&lt;=$D$331,U331&gt;=$M$331),P331,INDEX($D$331:$M$331,1,MATCH(U331,$D$331:$M$331,1)+1))</f>
        <v>15</v>
      </c>
      <c r="R331" s="1210">
        <f>INDEX($D$332:$M$332,1,MATCH(P331,$D$331:$M$331,1))</f>
        <v>1.9E-2</v>
      </c>
      <c r="S331" s="1211">
        <f>INDEX($D$332:$M$332,1,MATCH(Q331,$D$331:$M$331,1))</f>
        <v>1.9E-2</v>
      </c>
      <c r="T331" s="1212">
        <f>IF(R331=S331,S331,S331-(S331-R331)/(Q331-P331)*(Q331-U331))</f>
        <v>1.9E-2</v>
      </c>
      <c r="U331" s="1519">
        <f>D8</f>
        <v>0</v>
      </c>
      <c r="V331" s="1521">
        <f>IF(AA331&lt;=$D$331,$D$331,INDEX($D$331:$M$331,1,MATCH(AA331,$D$331:$M$331,1)))</f>
        <v>15</v>
      </c>
      <c r="W331" s="1211">
        <f>IF(OR(AA331&lt;=$D$331,AA331&gt;=$M$331),V331,INDEX($D$331:$M$331,1,MATCH(AA331,$D$331:$M$331,1)+1))</f>
        <v>15</v>
      </c>
      <c r="X331" s="1210">
        <f>INDEX($D$332:$M$332,1,MATCH(V331,$D$331:$M$331,1))</f>
        <v>1.9E-2</v>
      </c>
      <c r="Y331" s="1211">
        <f>INDEX($D$332:$M$332,1,MATCH(W331,$D$331:$M$331,1))</f>
        <v>1.9E-2</v>
      </c>
      <c r="Z331" s="1212">
        <f>IF(X331=Y331,Y331,Y331-(Y331-X331)/(W331-V331)*(W331-AA331))</f>
        <v>1.9E-2</v>
      </c>
      <c r="AA331" s="1519">
        <f>E8</f>
        <v>0</v>
      </c>
    </row>
    <row r="332" spans="1:27">
      <c r="B332" s="1191">
        <v>1</v>
      </c>
      <c r="C332" s="992" t="s">
        <v>271</v>
      </c>
      <c r="D332" s="992">
        <v>1.9E-2</v>
      </c>
      <c r="E332" s="992">
        <v>1.7000000000000001E-2</v>
      </c>
      <c r="F332" s="992">
        <v>1.4999999999999999E-2</v>
      </c>
      <c r="G332" s="992">
        <v>1.2500000000000001E-2</v>
      </c>
      <c r="H332" s="992">
        <v>0.01</v>
      </c>
      <c r="I332" s="992">
        <v>7.4999999999999997E-3</v>
      </c>
      <c r="J332" s="992">
        <v>4.7000000000000002E-3</v>
      </c>
      <c r="K332" s="992">
        <v>2.5000000000000001E-3</v>
      </c>
      <c r="L332" s="992">
        <v>2E-3</v>
      </c>
      <c r="M332" s="992">
        <v>1E-3</v>
      </c>
      <c r="V332" s="1520"/>
      <c r="W332" s="1219"/>
      <c r="X332" s="1219"/>
      <c r="Y332" s="1219"/>
      <c r="Z332" s="1219"/>
      <c r="AA332" s="1219"/>
    </row>
    <row r="333" spans="1:27">
      <c r="V333" s="1520"/>
      <c r="W333" s="1219"/>
      <c r="X333" s="1219"/>
      <c r="Y333" s="1219"/>
      <c r="Z333" s="1219"/>
      <c r="AA333" s="1219"/>
    </row>
    <row r="334" spans="1:27">
      <c r="B334" s="993" t="s">
        <v>1114</v>
      </c>
      <c r="V334" s="1520"/>
      <c r="W334" s="1219"/>
      <c r="X334" s="1219"/>
      <c r="Y334" s="1219"/>
      <c r="Z334" s="1219"/>
      <c r="AA334" s="1219"/>
    </row>
    <row r="335" spans="1:27">
      <c r="B335" s="1886" t="s">
        <v>1499</v>
      </c>
      <c r="C335" s="993"/>
      <c r="V335" s="1520"/>
      <c r="W335" s="1219"/>
      <c r="X335" s="1219"/>
      <c r="Y335" s="1219"/>
      <c r="Z335" s="1219"/>
      <c r="AA335" s="1219"/>
    </row>
    <row r="336" spans="1:27">
      <c r="B336" s="1887" t="s">
        <v>1111</v>
      </c>
      <c r="V336" s="1520"/>
      <c r="W336" s="1219"/>
      <c r="X336" s="1219"/>
      <c r="Y336" s="1219"/>
      <c r="Z336" s="1219"/>
      <c r="AA336" s="1219"/>
    </row>
    <row r="337" spans="1:27">
      <c r="A337" s="55" t="s">
        <v>1482</v>
      </c>
      <c r="B337" s="1874" t="s">
        <v>33</v>
      </c>
      <c r="C337" s="1864" t="s">
        <v>67</v>
      </c>
      <c r="D337" s="1221" t="s">
        <v>1112</v>
      </c>
      <c r="E337" s="1222"/>
      <c r="F337" s="1222"/>
      <c r="G337" s="1222"/>
      <c r="H337" s="1222"/>
      <c r="I337" s="1222"/>
      <c r="J337" s="1222"/>
      <c r="K337" s="1222"/>
      <c r="L337" s="1223"/>
      <c r="P337" s="1210" t="s">
        <v>69</v>
      </c>
      <c r="Q337" s="1211" t="s">
        <v>70</v>
      </c>
      <c r="R337" s="1210" t="s">
        <v>71</v>
      </c>
      <c r="S337" s="1211" t="s">
        <v>72</v>
      </c>
      <c r="T337" s="1212" t="s">
        <v>641</v>
      </c>
      <c r="U337" s="1213" t="s">
        <v>411</v>
      </c>
      <c r="V337" s="1521" t="s">
        <v>69</v>
      </c>
      <c r="W337" s="1211" t="s">
        <v>70</v>
      </c>
      <c r="X337" s="1210" t="s">
        <v>71</v>
      </c>
      <c r="Y337" s="1211" t="s">
        <v>72</v>
      </c>
      <c r="Z337" s="1212" t="s">
        <v>641</v>
      </c>
      <c r="AA337" s="1213" t="s">
        <v>411</v>
      </c>
    </row>
    <row r="338" spans="1:27">
      <c r="B338" s="1875"/>
      <c r="C338" s="1613"/>
      <c r="D338" s="1204">
        <v>15</v>
      </c>
      <c r="E338" s="1282">
        <v>50</v>
      </c>
      <c r="F338" s="1282">
        <v>100</v>
      </c>
      <c r="G338" s="1282">
        <v>200</v>
      </c>
      <c r="H338" s="1282">
        <v>500</v>
      </c>
      <c r="I338" s="1869">
        <v>1000</v>
      </c>
      <c r="J338" s="1869">
        <v>2000</v>
      </c>
      <c r="K338" s="1869">
        <v>5000</v>
      </c>
      <c r="L338" s="1869" t="s">
        <v>1109</v>
      </c>
      <c r="P338" s="1210">
        <f ca="1">IF(U338&lt;=$D$338,$D$338,INDEX($D$338:$L$338,1,MATCH(U338,$D$338:$L$338,1)))</f>
        <v>15</v>
      </c>
      <c r="Q338" s="1211">
        <f ca="1">IF(OR(U338&lt;=$D$338,U338&gt;=$L$338),P338,INDEX($D$338:$L$338,1,MATCH(U338,$D$338:$L$338,1)+1))</f>
        <v>15</v>
      </c>
      <c r="R338" s="1210">
        <f ca="1">INDEX($D$339:$L$343,LCT,MATCH(P338,$D$338:$L$338,1))</f>
        <v>0.19</v>
      </c>
      <c r="S338" s="1211">
        <f ca="1">INDEX($D$339:$L$343,LCT,MATCH(Q338,$D$338:$L$338,1))</f>
        <v>0.19</v>
      </c>
      <c r="T338" s="1212">
        <f ca="1">IF(R338=S338,S338,S338-(S338-R338)/(Q338-P338)*(Q338-U338))</f>
        <v>0.19</v>
      </c>
      <c r="U338" s="1519">
        <f ca="1">D5</f>
        <v>0.34403316717430643</v>
      </c>
      <c r="V338" s="1521">
        <f>IF(AA338&lt;=$D$338,$D$338,INDEX($D$338:$L$338,1,MATCH(AA338,$D$338:$L$338,1)))</f>
        <v>15</v>
      </c>
      <c r="W338" s="1211">
        <f>IF(OR(AA338&lt;=$D$338,AA338&gt;=$L$338),V338,INDEX($D$338:$L$338,1,MATCH(AA338,$D$338:$L$338,1)+1))</f>
        <v>15</v>
      </c>
      <c r="X338" s="1210">
        <f>INDEX($D$339:$L$343,LCT,MATCH(V338,$D$338:$L$338,1))</f>
        <v>0.19</v>
      </c>
      <c r="Y338" s="1211">
        <f>INDEX($D$339:$L$343,LCT,MATCH(W338,$D$338:$L$338,1))</f>
        <v>0.19</v>
      </c>
      <c r="Z338" s="1212">
        <f>IF(X338=Y338,Y338,Y338-(Y338-X338)/(W338-V338)*(W338-AA338))</f>
        <v>0.19</v>
      </c>
      <c r="AA338" s="1519">
        <f>E5</f>
        <v>0</v>
      </c>
    </row>
    <row r="339" spans="1:27">
      <c r="B339" s="1193">
        <v>1</v>
      </c>
      <c r="C339" s="1217" t="s">
        <v>34</v>
      </c>
      <c r="D339" s="992">
        <v>0.16500000000000001</v>
      </c>
      <c r="E339" s="992">
        <v>0.11</v>
      </c>
      <c r="F339" s="992">
        <v>8.5000000000000006E-2</v>
      </c>
      <c r="G339" s="992">
        <v>6.5000000000000002E-2</v>
      </c>
      <c r="H339" s="992">
        <v>0.05</v>
      </c>
      <c r="I339" s="992">
        <v>4.1000000000000002E-2</v>
      </c>
      <c r="J339" s="992">
        <v>2.9000000000000001E-2</v>
      </c>
      <c r="K339" s="992">
        <v>2.1999999999999999E-2</v>
      </c>
      <c r="L339" s="992">
        <v>1.9E-2</v>
      </c>
      <c r="V339" s="1520"/>
      <c r="W339" s="1219"/>
      <c r="X339" s="1219"/>
      <c r="Y339" s="1219"/>
      <c r="Z339" s="1219"/>
      <c r="AA339" s="1219"/>
    </row>
    <row r="340" spans="1:27">
      <c r="B340" s="1193">
        <v>2</v>
      </c>
      <c r="C340" s="1217" t="s">
        <v>35</v>
      </c>
      <c r="D340" s="992">
        <v>0.19</v>
      </c>
      <c r="E340" s="992">
        <v>0.126</v>
      </c>
      <c r="F340" s="992">
        <v>9.7000000000000003E-2</v>
      </c>
      <c r="G340" s="992">
        <v>7.4999999999999997E-2</v>
      </c>
      <c r="H340" s="992">
        <v>5.8000000000000003E-2</v>
      </c>
      <c r="I340" s="992">
        <v>4.3999999999999997E-2</v>
      </c>
      <c r="J340" s="992">
        <v>3.5000000000000003E-2</v>
      </c>
      <c r="K340" s="992">
        <v>2.5999999999999999E-2</v>
      </c>
      <c r="L340" s="992">
        <v>2.1999999999999999E-2</v>
      </c>
      <c r="V340" s="1520"/>
      <c r="W340" s="1219"/>
      <c r="X340" s="1219"/>
      <c r="Y340" s="1219"/>
      <c r="Z340" s="1219"/>
      <c r="AA340" s="1219"/>
    </row>
    <row r="341" spans="1:27">
      <c r="B341" s="1193">
        <v>3</v>
      </c>
      <c r="C341" s="1217" t="s">
        <v>36</v>
      </c>
      <c r="D341" s="992">
        <v>0.109</v>
      </c>
      <c r="E341" s="992">
        <v>7.1999999999999995E-2</v>
      </c>
      <c r="F341" s="992">
        <v>5.5E-2</v>
      </c>
      <c r="G341" s="992">
        <v>4.2999999999999997E-2</v>
      </c>
      <c r="H341" s="992">
        <v>3.3000000000000002E-2</v>
      </c>
      <c r="I341" s="992">
        <v>2.5000000000000001E-2</v>
      </c>
      <c r="J341" s="992">
        <v>2.1000000000000001E-2</v>
      </c>
      <c r="K341" s="992">
        <v>1.6E-2</v>
      </c>
      <c r="L341" s="992">
        <v>1.4E-2</v>
      </c>
      <c r="V341" s="1520"/>
      <c r="W341" s="1219"/>
      <c r="X341" s="1219"/>
      <c r="Y341" s="1219"/>
      <c r="Z341" s="1219"/>
      <c r="AA341" s="1219"/>
    </row>
    <row r="342" spans="1:27">
      <c r="B342" s="1193">
        <v>4</v>
      </c>
      <c r="C342" s="1217" t="s">
        <v>375</v>
      </c>
      <c r="D342" s="992">
        <v>0.121</v>
      </c>
      <c r="E342" s="992">
        <v>0.08</v>
      </c>
      <c r="F342" s="992">
        <v>6.0999999999999999E-2</v>
      </c>
      <c r="G342" s="992">
        <v>4.8000000000000001E-2</v>
      </c>
      <c r="H342" s="992">
        <v>3.6999999999999998E-2</v>
      </c>
      <c r="I342" s="992">
        <v>2.8000000000000001E-2</v>
      </c>
      <c r="J342" s="992">
        <v>2.3E-2</v>
      </c>
      <c r="K342" s="992">
        <v>1.7000000000000001E-2</v>
      </c>
      <c r="L342" s="992">
        <v>1.4E-2</v>
      </c>
      <c r="V342" s="1520"/>
      <c r="W342" s="1219"/>
      <c r="X342" s="1219"/>
      <c r="Y342" s="1219"/>
      <c r="Z342" s="1219"/>
      <c r="AA342" s="1219"/>
    </row>
    <row r="343" spans="1:27">
      <c r="B343" s="1193">
        <v>5</v>
      </c>
      <c r="C343" s="1217" t="s">
        <v>38</v>
      </c>
      <c r="D343" s="992">
        <v>0.126</v>
      </c>
      <c r="E343" s="992">
        <v>8.5000000000000006E-2</v>
      </c>
      <c r="F343" s="992">
        <v>6.5000000000000002E-2</v>
      </c>
      <c r="G343" s="992">
        <v>0.05</v>
      </c>
      <c r="H343" s="992">
        <v>3.9E-2</v>
      </c>
      <c r="I343" s="992">
        <v>0.03</v>
      </c>
      <c r="J343" s="992">
        <v>2.5999999999999999E-2</v>
      </c>
      <c r="K343" s="992">
        <v>1.9E-2</v>
      </c>
      <c r="L343" s="992">
        <v>1.7000000000000001E-2</v>
      </c>
      <c r="V343" s="1520"/>
      <c r="W343" s="1219"/>
      <c r="X343" s="1219"/>
      <c r="Y343" s="1219"/>
      <c r="Z343" s="1219"/>
      <c r="AA343" s="1219"/>
    </row>
    <row r="344" spans="1:27">
      <c r="V344" s="1520"/>
      <c r="W344" s="1219"/>
      <c r="X344" s="1219"/>
      <c r="Y344" s="1219"/>
      <c r="Z344" s="1219"/>
      <c r="AA344" s="1219"/>
    </row>
    <row r="345" spans="1:27">
      <c r="B345" s="1887" t="s">
        <v>661</v>
      </c>
      <c r="V345" s="1520"/>
      <c r="W345" s="1219"/>
      <c r="X345" s="1219"/>
      <c r="Y345" s="1219"/>
      <c r="Z345" s="1219"/>
      <c r="AA345" s="1219"/>
    </row>
    <row r="346" spans="1:27">
      <c r="A346" s="55" t="s">
        <v>1482</v>
      </c>
      <c r="B346" s="1874" t="s">
        <v>33</v>
      </c>
      <c r="C346" s="1864" t="s">
        <v>67</v>
      </c>
      <c r="D346" s="1221" t="s">
        <v>1112</v>
      </c>
      <c r="E346" s="1222"/>
      <c r="F346" s="1222"/>
      <c r="G346" s="1222"/>
      <c r="H346" s="1222"/>
      <c r="I346" s="1222"/>
      <c r="J346" s="1222"/>
      <c r="K346" s="1222"/>
      <c r="L346" s="1223"/>
      <c r="P346" s="1210" t="s">
        <v>69</v>
      </c>
      <c r="Q346" s="1211" t="s">
        <v>70</v>
      </c>
      <c r="R346" s="1210" t="s">
        <v>71</v>
      </c>
      <c r="S346" s="1211" t="s">
        <v>72</v>
      </c>
      <c r="T346" s="1212" t="s">
        <v>641</v>
      </c>
      <c r="U346" s="1213" t="s">
        <v>411</v>
      </c>
      <c r="V346" s="1521" t="s">
        <v>69</v>
      </c>
      <c r="W346" s="1211" t="s">
        <v>70</v>
      </c>
      <c r="X346" s="1210" t="s">
        <v>71</v>
      </c>
      <c r="Y346" s="1211" t="s">
        <v>72</v>
      </c>
      <c r="Z346" s="1212" t="s">
        <v>641</v>
      </c>
      <c r="AA346" s="1213" t="s">
        <v>411</v>
      </c>
    </row>
    <row r="347" spans="1:27">
      <c r="B347" s="1875"/>
      <c r="C347" s="1613"/>
      <c r="D347" s="1204">
        <v>15</v>
      </c>
      <c r="E347" s="1282">
        <v>50</v>
      </c>
      <c r="F347" s="1282">
        <v>100</v>
      </c>
      <c r="G347" s="1282">
        <v>200</v>
      </c>
      <c r="H347" s="1282">
        <v>500</v>
      </c>
      <c r="I347" s="1869">
        <v>1000</v>
      </c>
      <c r="J347" s="1869">
        <v>2000</v>
      </c>
      <c r="K347" s="1869">
        <v>5000</v>
      </c>
      <c r="L347" s="1869" t="s">
        <v>1110</v>
      </c>
      <c r="P347" s="1210">
        <f ca="1">IF(U347&lt;=$D$347,$D$347,INDEX($D$347:$L$347,1,MATCH(U347,$D$347:$L$347,1)))</f>
        <v>15</v>
      </c>
      <c r="Q347" s="1211">
        <f ca="1">IF(OR(U347&lt;=$D$347,U347&gt;=$L$347),P347,INDEX($D$347:$L$347,1,MATCH(U347,$D$347:$L$347,1)+1))</f>
        <v>15</v>
      </c>
      <c r="R347" s="1210">
        <f ca="1">INDEX($D$348:$L$352,LCT,MATCH(P347,$D$347:$L$347,1))</f>
        <v>0.185</v>
      </c>
      <c r="S347" s="1211">
        <f ca="1">INDEX($D$348:$L$352,LCT,MATCH(Q347,$D$347:$L$347,1))</f>
        <v>0.185</v>
      </c>
      <c r="T347" s="1212">
        <f ca="1">IF(R347=S347,S347,S347-(S347-R347)/(Q347-P347)*(Q347-U347))</f>
        <v>0.185</v>
      </c>
      <c r="U347" s="1519">
        <f ca="1">D5</f>
        <v>0.34403316717430643</v>
      </c>
      <c r="V347" s="1521">
        <f>IF(AA347&lt;=$D$347,$D$347,INDEX($D$347:$L$347,1,MATCH(AA347,$D$347:$L$347,1)))</f>
        <v>15</v>
      </c>
      <c r="W347" s="1211">
        <f>IF(OR(AA347&lt;=$D$347,AA347&gt;=$L$347),V347,INDEX($D$347:$L$347,1,MATCH(AA347,$D$347:$L$347,1)+1))</f>
        <v>15</v>
      </c>
      <c r="X347" s="1210">
        <f>INDEX($D$348:$L$352,LCT,MATCH(V347,$D$347:$L$347,1))</f>
        <v>0.185</v>
      </c>
      <c r="Y347" s="1211">
        <f>INDEX($D$348:$L$352,LCT,MATCH(W347,$D$347:$L$347,1))</f>
        <v>0.185</v>
      </c>
      <c r="Z347" s="1212">
        <f>IF(X347=Y347,Y347,Y347-(Y347-X347)/(W347-V347)*(W347-AA347))</f>
        <v>0.185</v>
      </c>
      <c r="AA347" s="1213">
        <f>E5</f>
        <v>0</v>
      </c>
    </row>
    <row r="348" spans="1:27">
      <c r="B348" s="1193">
        <v>1</v>
      </c>
      <c r="C348" s="1217" t="s">
        <v>34</v>
      </c>
      <c r="D348" s="992">
        <v>0.16</v>
      </c>
      <c r="E348" s="992">
        <v>0.106</v>
      </c>
      <c r="F348" s="992">
        <v>8.3000000000000004E-2</v>
      </c>
      <c r="G348" s="992">
        <v>6.2E-2</v>
      </c>
      <c r="H348" s="992">
        <v>4.5999999999999999E-2</v>
      </c>
      <c r="I348" s="992">
        <v>3.7999999999999999E-2</v>
      </c>
      <c r="J348" s="992">
        <v>2.8000000000000001E-2</v>
      </c>
      <c r="K348" s="992">
        <v>2.1000000000000001E-2</v>
      </c>
      <c r="L348" s="992">
        <v>1.7999999999999999E-2</v>
      </c>
      <c r="V348" s="1219"/>
      <c r="W348" s="1219"/>
      <c r="X348" s="1219"/>
      <c r="Y348" s="1219"/>
      <c r="Z348" s="1219"/>
      <c r="AA348" s="1219"/>
    </row>
    <row r="349" spans="1:27">
      <c r="B349" s="1193">
        <v>2</v>
      </c>
      <c r="C349" s="1217" t="s">
        <v>35</v>
      </c>
      <c r="D349" s="992">
        <v>0.185</v>
      </c>
      <c r="E349" s="992">
        <v>0.121</v>
      </c>
      <c r="F349" s="992">
        <v>9.4E-2</v>
      </c>
      <c r="G349" s="992">
        <v>7.1999999999999995E-2</v>
      </c>
      <c r="H349" s="992">
        <v>5.5E-2</v>
      </c>
      <c r="I349" s="992">
        <v>4.1000000000000002E-2</v>
      </c>
      <c r="J349" s="992">
        <v>3.3000000000000002E-2</v>
      </c>
      <c r="K349" s="992">
        <v>2.3E-2</v>
      </c>
      <c r="L349" s="992">
        <v>0.02</v>
      </c>
      <c r="V349" s="1219"/>
      <c r="W349" s="1219"/>
      <c r="X349" s="1219"/>
      <c r="Y349" s="1219"/>
      <c r="Z349" s="1219"/>
      <c r="AA349" s="1219"/>
    </row>
    <row r="350" spans="1:27">
      <c r="B350" s="1193">
        <v>3</v>
      </c>
      <c r="C350" s="1217" t="s">
        <v>36</v>
      </c>
      <c r="D350" s="992">
        <v>0.106</v>
      </c>
      <c r="E350" s="992">
        <v>6.8000000000000005E-2</v>
      </c>
      <c r="F350" s="992">
        <v>5.3999999999999999E-2</v>
      </c>
      <c r="G350" s="992">
        <v>4.1000000000000002E-2</v>
      </c>
      <c r="H350" s="992">
        <v>3.1E-2</v>
      </c>
      <c r="I350" s="992">
        <v>2.4E-2</v>
      </c>
      <c r="J350" s="992">
        <v>0.02</v>
      </c>
      <c r="K350" s="992">
        <v>1.4E-2</v>
      </c>
      <c r="L350" s="992">
        <v>1.2E-2</v>
      </c>
      <c r="V350" s="1219"/>
      <c r="W350" s="1219"/>
      <c r="X350" s="1219"/>
      <c r="Y350" s="1219"/>
      <c r="Z350" s="1219"/>
      <c r="AA350" s="1219"/>
    </row>
    <row r="351" spans="1:27">
      <c r="B351" s="1193">
        <v>4</v>
      </c>
      <c r="C351" s="1217" t="s">
        <v>375</v>
      </c>
      <c r="D351" s="992">
        <v>0.11700000000000001</v>
      </c>
      <c r="E351" s="992">
        <v>7.5999999999999998E-2</v>
      </c>
      <c r="F351" s="992">
        <v>0.06</v>
      </c>
      <c r="G351" s="992">
        <v>4.5999999999999999E-2</v>
      </c>
      <c r="H351" s="992">
        <v>3.5000000000000003E-2</v>
      </c>
      <c r="I351" s="992">
        <v>2.5999999999999999E-2</v>
      </c>
      <c r="J351" s="992">
        <v>2.1999999999999999E-2</v>
      </c>
      <c r="K351" s="992">
        <v>1.6E-2</v>
      </c>
      <c r="L351" s="992">
        <v>1.4E-2</v>
      </c>
      <c r="V351" s="1219"/>
      <c r="W351" s="1219"/>
      <c r="X351" s="1219"/>
      <c r="Y351" s="1219"/>
      <c r="Z351" s="1219"/>
      <c r="AA351" s="1219"/>
    </row>
    <row r="352" spans="1:27">
      <c r="B352" s="1193">
        <v>5</v>
      </c>
      <c r="C352" s="1217" t="s">
        <v>38</v>
      </c>
      <c r="D352" s="992">
        <v>0.122</v>
      </c>
      <c r="E352" s="992">
        <v>8.2000000000000003E-2</v>
      </c>
      <c r="F352" s="992">
        <v>6.2E-2</v>
      </c>
      <c r="G352" s="992">
        <v>4.7E-2</v>
      </c>
      <c r="H352" s="992">
        <v>3.6999999999999998E-2</v>
      </c>
      <c r="I352" s="992">
        <v>2.9000000000000001E-2</v>
      </c>
      <c r="J352" s="992">
        <v>2.4E-2</v>
      </c>
      <c r="K352" s="992">
        <v>1.7000000000000001E-2</v>
      </c>
      <c r="L352" s="992">
        <v>1.4E-2</v>
      </c>
      <c r="V352" s="1219"/>
      <c r="W352" s="1219"/>
      <c r="X352" s="1219"/>
      <c r="Y352" s="1219"/>
      <c r="Z352" s="1219"/>
      <c r="AA352" s="1219"/>
    </row>
    <row r="353" spans="1:27">
      <c r="V353" s="1219"/>
      <c r="W353" s="1219"/>
      <c r="X353" s="1219"/>
      <c r="Y353" s="1219"/>
      <c r="Z353" s="1219"/>
      <c r="AA353" s="1219"/>
    </row>
    <row r="354" spans="1:27">
      <c r="B354" s="53" t="s">
        <v>1496</v>
      </c>
      <c r="C354" s="53"/>
      <c r="D354" s="17"/>
      <c r="E354" s="17"/>
      <c r="F354" s="17"/>
      <c r="G354" s="17"/>
      <c r="H354" s="17"/>
      <c r="I354" s="17"/>
      <c r="J354" s="17"/>
      <c r="K354" s="17"/>
      <c r="N354" s="17"/>
      <c r="O354" s="17"/>
      <c r="V354" s="1219"/>
      <c r="W354" s="1219"/>
      <c r="X354" s="1219"/>
      <c r="Y354" s="1219"/>
      <c r="Z354" s="1219"/>
      <c r="AA354" s="1219"/>
    </row>
    <row r="355" spans="1:27">
      <c r="C355" s="17"/>
      <c r="E355" s="17"/>
      <c r="F355" s="17"/>
      <c r="G355" s="17"/>
      <c r="I355" s="17"/>
      <c r="J355" s="17"/>
      <c r="K355" s="17"/>
      <c r="N355" s="17"/>
      <c r="O355" s="17"/>
      <c r="P355" s="1884" t="s">
        <v>1008</v>
      </c>
      <c r="V355" s="1219"/>
      <c r="W355" s="1219"/>
      <c r="X355" s="1219"/>
      <c r="Y355" s="1219"/>
      <c r="Z355" s="1219"/>
      <c r="AA355" s="1219"/>
    </row>
    <row r="356" spans="1:27">
      <c r="A356" s="55" t="s">
        <v>1484</v>
      </c>
      <c r="B356" s="2457" t="s">
        <v>33</v>
      </c>
      <c r="C356" s="2457" t="s">
        <v>1493</v>
      </c>
      <c r="D356" s="1554" t="s">
        <v>902</v>
      </c>
      <c r="E356" s="1554"/>
      <c r="F356" s="1554"/>
      <c r="G356" s="1554"/>
      <c r="H356" s="1554"/>
      <c r="I356" s="1554"/>
      <c r="J356" s="1554"/>
      <c r="K356" s="1554"/>
      <c r="L356" s="1554"/>
      <c r="M356" s="1554"/>
      <c r="N356" s="1554"/>
      <c r="O356" s="1554"/>
      <c r="P356" s="1554"/>
      <c r="V356" s="1219"/>
      <c r="W356" s="1219"/>
      <c r="X356" s="1219"/>
      <c r="Y356" s="1219"/>
      <c r="Z356" s="1219"/>
      <c r="AA356" s="1219"/>
    </row>
    <row r="357" spans="1:27" ht="31.5">
      <c r="B357" s="2458"/>
      <c r="C357" s="2458"/>
      <c r="D357" s="1002" t="s">
        <v>904</v>
      </c>
      <c r="E357" s="1002" t="s">
        <v>906</v>
      </c>
      <c r="F357" s="1002" t="s">
        <v>908</v>
      </c>
      <c r="G357" s="1002" t="s">
        <v>910</v>
      </c>
      <c r="H357" s="1002" t="s">
        <v>911</v>
      </c>
      <c r="I357" s="1002" t="s">
        <v>912</v>
      </c>
      <c r="J357" s="1002" t="s">
        <v>913</v>
      </c>
      <c r="K357" s="1002" t="s">
        <v>914</v>
      </c>
      <c r="L357" s="1002" t="s">
        <v>915</v>
      </c>
      <c r="M357" s="1002" t="s">
        <v>916</v>
      </c>
      <c r="N357" s="1002" t="s">
        <v>917</v>
      </c>
      <c r="O357" s="1002" t="s">
        <v>918</v>
      </c>
      <c r="P357" s="1881" t="s">
        <v>919</v>
      </c>
      <c r="V357" s="1219"/>
      <c r="W357" s="1219"/>
      <c r="X357" s="1219"/>
      <c r="Y357" s="1219"/>
      <c r="Z357" s="1219"/>
      <c r="AA357" s="1219"/>
    </row>
    <row r="358" spans="1:27">
      <c r="B358" s="2459"/>
      <c r="C358" s="2459"/>
      <c r="D358" s="1870">
        <v>10</v>
      </c>
      <c r="E358" s="1870">
        <v>20</v>
      </c>
      <c r="F358" s="1870">
        <v>50</v>
      </c>
      <c r="G358" s="1870">
        <v>100</v>
      </c>
      <c r="H358" s="1870">
        <v>200</v>
      </c>
      <c r="I358" s="1870">
        <v>500</v>
      </c>
      <c r="J358" s="1870">
        <v>1000</v>
      </c>
      <c r="K358" s="1870">
        <v>1500</v>
      </c>
      <c r="L358" s="1870">
        <v>2000</v>
      </c>
      <c r="M358" s="1870">
        <v>3000</v>
      </c>
      <c r="N358" s="1870">
        <v>5000</v>
      </c>
      <c r="O358" s="1870">
        <v>7000</v>
      </c>
      <c r="P358" s="1882">
        <v>7000</v>
      </c>
      <c r="V358" s="1219"/>
      <c r="W358" s="1219"/>
      <c r="X358" s="1219"/>
      <c r="Y358" s="1219"/>
      <c r="Z358" s="1219"/>
      <c r="AA358" s="1219"/>
    </row>
    <row r="359" spans="1:27">
      <c r="B359" s="911">
        <v>1</v>
      </c>
      <c r="C359" s="1327" t="s">
        <v>1494</v>
      </c>
      <c r="D359" s="1004">
        <f>8*1000000</f>
        <v>8000000</v>
      </c>
      <c r="E359" s="1004">
        <f>12.5*1000000</f>
        <v>12500000</v>
      </c>
      <c r="F359" s="1004">
        <f>21*1000000</f>
        <v>21000000</v>
      </c>
      <c r="G359" s="1004">
        <f>37.5*1000000</f>
        <v>37500000</v>
      </c>
      <c r="H359" s="1004">
        <f>41.5*1000000</f>
        <v>41500000</v>
      </c>
      <c r="I359" s="1004">
        <f>54*1000000</f>
        <v>54000000</v>
      </c>
      <c r="J359" s="1004">
        <f>61*1000000</f>
        <v>61000000</v>
      </c>
      <c r="K359" s="1004">
        <f>65*1000000</f>
        <v>65000000</v>
      </c>
      <c r="L359" s="1004">
        <f>67*1000000</f>
        <v>67000000</v>
      </c>
      <c r="M359" s="1004">
        <f>70*1000000</f>
        <v>70000000</v>
      </c>
      <c r="N359" s="1004">
        <f>72.5*1000000</f>
        <v>72500000</v>
      </c>
      <c r="O359" s="1004">
        <f>77*1000000</f>
        <v>77000000</v>
      </c>
      <c r="P359" s="1893">
        <f>84*1000000</f>
        <v>84000000</v>
      </c>
      <c r="V359" s="1219"/>
      <c r="W359" s="1219"/>
      <c r="X359" s="1219"/>
      <c r="Y359" s="1219"/>
      <c r="Z359" s="1219"/>
      <c r="AA359" s="1219"/>
    </row>
    <row r="360" spans="1:27">
      <c r="B360" s="911">
        <v>2</v>
      </c>
      <c r="C360" s="1327" t="s">
        <v>903</v>
      </c>
      <c r="D360" s="1004">
        <f>9.6*1000000</f>
        <v>9600000</v>
      </c>
      <c r="E360" s="1004">
        <f>15*1000000</f>
        <v>15000000</v>
      </c>
      <c r="F360" s="1004">
        <f>24*1000000</f>
        <v>24000000</v>
      </c>
      <c r="G360" s="1004">
        <f>43*1000000</f>
        <v>43000000</v>
      </c>
      <c r="H360" s="1004">
        <f>47*1000000</f>
        <v>47000000</v>
      </c>
      <c r="I360" s="1004">
        <f>62*1000000</f>
        <v>62000000</v>
      </c>
      <c r="J360" s="1004">
        <f>69*1000000</f>
        <v>69000000</v>
      </c>
      <c r="K360" s="1004">
        <f>75*1000000</f>
        <v>75000000</v>
      </c>
      <c r="L360" s="1004">
        <f>76.5*1000000</f>
        <v>76500000</v>
      </c>
      <c r="M360" s="1004">
        <f>79*1000000</f>
        <v>79000000</v>
      </c>
      <c r="N360" s="1004">
        <f>82*1000000</f>
        <v>82000000</v>
      </c>
      <c r="O360" s="1004">
        <f>87*1000000</f>
        <v>87000000</v>
      </c>
      <c r="P360" s="1893">
        <f>96*1000000</f>
        <v>96000000</v>
      </c>
      <c r="V360" s="1219"/>
      <c r="W360" s="1219"/>
      <c r="X360" s="1219"/>
      <c r="Y360" s="1219"/>
      <c r="Z360" s="1219"/>
      <c r="AA360" s="1219"/>
    </row>
    <row r="361" spans="1:27">
      <c r="B361" s="911">
        <v>3</v>
      </c>
      <c r="C361" s="1327" t="s">
        <v>905</v>
      </c>
      <c r="D361" s="1004">
        <f>9.2*1000000</f>
        <v>9200000</v>
      </c>
      <c r="E361" s="1004">
        <f>14*1000000</f>
        <v>14000000</v>
      </c>
      <c r="F361" s="1004">
        <f>23*1000000</f>
        <v>23000000</v>
      </c>
      <c r="G361" s="1004">
        <f>41*1000000</f>
        <v>41000000</v>
      </c>
      <c r="H361" s="1004">
        <f>45*1000000</f>
        <v>45000000</v>
      </c>
      <c r="I361" s="1004">
        <f>59*1000000</f>
        <v>59000000</v>
      </c>
      <c r="J361" s="1004">
        <f>66*1000000</f>
        <v>66000000</v>
      </c>
      <c r="K361" s="1004">
        <f>72*1000000</f>
        <v>72000000</v>
      </c>
      <c r="L361" s="1004">
        <f>73.5*1000000</f>
        <v>73500000</v>
      </c>
      <c r="M361" s="1004">
        <f>76*1000000</f>
        <v>76000000</v>
      </c>
      <c r="N361" s="1004">
        <f>79*1000000</f>
        <v>79000000</v>
      </c>
      <c r="O361" s="1004">
        <f>84*1000000</f>
        <v>84000000</v>
      </c>
      <c r="P361" s="1893">
        <f>92*1000000</f>
        <v>92000000</v>
      </c>
      <c r="V361" s="1219"/>
      <c r="W361" s="1219"/>
      <c r="X361" s="1219"/>
      <c r="Y361" s="1219"/>
      <c r="Z361" s="1219"/>
      <c r="AA361" s="1219"/>
    </row>
    <row r="362" spans="1:27">
      <c r="B362" s="911">
        <v>4</v>
      </c>
      <c r="C362" s="1327" t="s">
        <v>907</v>
      </c>
      <c r="D362" s="1004">
        <f>8.8*1000000</f>
        <v>8800000</v>
      </c>
      <c r="E362" s="1004">
        <f>13.5*1000000</f>
        <v>13500000</v>
      </c>
      <c r="F362" s="1004">
        <f>22.5*1000000</f>
        <v>22500000</v>
      </c>
      <c r="G362" s="1004">
        <f>39*1000000</f>
        <v>39000000</v>
      </c>
      <c r="H362" s="1004">
        <f>43*1000000</f>
        <v>43000000</v>
      </c>
      <c r="I362" s="1004">
        <f>56*1000000</f>
        <v>56000000</v>
      </c>
      <c r="J362" s="1004">
        <f>63.5*1000000</f>
        <v>63500000</v>
      </c>
      <c r="K362" s="1004">
        <f>68.5*1000000</f>
        <v>68500000</v>
      </c>
      <c r="L362" s="1004">
        <f>70*1000000</f>
        <v>70000000</v>
      </c>
      <c r="M362" s="1004">
        <f>73*1000000</f>
        <v>73000000</v>
      </c>
      <c r="N362" s="1004">
        <f>76*1000000</f>
        <v>76000000</v>
      </c>
      <c r="O362" s="1004">
        <f>80*1000000</f>
        <v>80000000</v>
      </c>
      <c r="P362" s="1893">
        <f>88*1000000</f>
        <v>88000000</v>
      </c>
      <c r="V362" s="1219"/>
      <c r="W362" s="1219"/>
      <c r="X362" s="1219"/>
      <c r="Y362" s="1219"/>
      <c r="Z362" s="1219"/>
      <c r="AA362" s="1219"/>
    </row>
    <row r="363" spans="1:27">
      <c r="B363" s="911">
        <v>5</v>
      </c>
      <c r="C363" s="1327" t="s">
        <v>909</v>
      </c>
      <c r="D363" s="1004">
        <f>8.6*1000000</f>
        <v>8600000</v>
      </c>
      <c r="E363" s="1004">
        <f>13*1000000</f>
        <v>13000000</v>
      </c>
      <c r="F363" s="1004">
        <f>22*1000000</f>
        <v>22000000</v>
      </c>
      <c r="G363" s="1004">
        <f>38*1000000</f>
        <v>38000000</v>
      </c>
      <c r="H363" s="1004">
        <f>42*1000000</f>
        <v>42000000</v>
      </c>
      <c r="I363" s="1004">
        <f>55*1000000</f>
        <v>55000000</v>
      </c>
      <c r="J363" s="1004">
        <f>62*1000000</f>
        <v>62000000</v>
      </c>
      <c r="K363" s="1004">
        <f>67*1000000</f>
        <v>67000000</v>
      </c>
      <c r="L363" s="1004">
        <f>68*1000000</f>
        <v>68000000</v>
      </c>
      <c r="M363" s="1004">
        <f>71*1000000</f>
        <v>71000000</v>
      </c>
      <c r="N363" s="1004">
        <f>74*1000000</f>
        <v>74000000</v>
      </c>
      <c r="O363" s="1004">
        <f>78*1000000</f>
        <v>78000000</v>
      </c>
      <c r="P363" s="1893">
        <f>86*1000000</f>
        <v>86000000</v>
      </c>
      <c r="V363" s="1219"/>
      <c r="W363" s="1219"/>
      <c r="X363" s="1219"/>
      <c r="Y363" s="1219"/>
      <c r="Z363" s="1219"/>
      <c r="AA363" s="1219"/>
    </row>
    <row r="364" spans="1:27" ht="31.5">
      <c r="A364" s="1906" t="s">
        <v>1500</v>
      </c>
      <c r="B364" s="911">
        <v>6</v>
      </c>
      <c r="C364" s="1889" t="s">
        <v>1495</v>
      </c>
      <c r="D364" s="1004">
        <f>6*1000000</f>
        <v>6000000</v>
      </c>
      <c r="E364" s="1004">
        <f>9*1000000</f>
        <v>9000000</v>
      </c>
      <c r="F364" s="1004">
        <f>15*1000000</f>
        <v>15000000</v>
      </c>
      <c r="G364" s="1004">
        <f>27*1000000</f>
        <v>27000000</v>
      </c>
      <c r="H364" s="1004">
        <f>30*1000000</f>
        <v>30000000</v>
      </c>
      <c r="I364" s="1004">
        <f>39*1000000</f>
        <v>39000000</v>
      </c>
      <c r="J364" s="1004">
        <f>44*1000000</f>
        <v>44000000</v>
      </c>
      <c r="K364" s="1004">
        <f>48*1000000</f>
        <v>48000000</v>
      </c>
      <c r="L364" s="1004">
        <f>49*1000000</f>
        <v>49000000</v>
      </c>
      <c r="M364" s="1004">
        <f>51*1000000</f>
        <v>51000000</v>
      </c>
      <c r="N364" s="1004">
        <f>53*1000000</f>
        <v>53000000</v>
      </c>
      <c r="O364" s="1004">
        <f>56*1000000</f>
        <v>56000000</v>
      </c>
      <c r="P364" s="1893">
        <f>61*1000000</f>
        <v>61000000</v>
      </c>
      <c r="V364" s="1219"/>
      <c r="W364" s="1219"/>
      <c r="X364" s="1219"/>
      <c r="Y364" s="1219"/>
      <c r="Z364" s="1219"/>
      <c r="AA364" s="1219"/>
    </row>
    <row r="365" spans="1:27">
      <c r="A365" s="17"/>
      <c r="B365" s="17"/>
      <c r="C365" s="17"/>
      <c r="D365" s="17"/>
      <c r="E365" s="17"/>
      <c r="F365" s="17"/>
      <c r="G365" s="17"/>
      <c r="H365" s="17"/>
      <c r="I365" s="17"/>
      <c r="J365" s="17"/>
      <c r="K365" s="17"/>
      <c r="L365" s="17"/>
      <c r="M365" s="17"/>
      <c r="N365" s="17"/>
      <c r="O365" s="17"/>
      <c r="V365" s="1219"/>
      <c r="W365" s="1219"/>
      <c r="X365" s="1219"/>
      <c r="Y365" s="1219"/>
      <c r="Z365" s="1219"/>
      <c r="AA365" s="1219"/>
    </row>
    <row r="366" spans="1:27">
      <c r="B366" s="17"/>
      <c r="C366" s="17" t="s">
        <v>55</v>
      </c>
      <c r="D366" s="17"/>
      <c r="E366" s="17"/>
      <c r="F366" s="17"/>
      <c r="G366" s="17"/>
      <c r="H366" s="17"/>
      <c r="I366" s="17"/>
      <c r="J366" s="17"/>
      <c r="K366" s="17"/>
      <c r="L366" s="17"/>
      <c r="M366" s="17"/>
      <c r="N366" s="17"/>
      <c r="O366" s="17"/>
      <c r="P366" s="17"/>
      <c r="V366" s="1219"/>
      <c r="W366" s="1219"/>
      <c r="X366" s="1219"/>
      <c r="Y366" s="1219"/>
      <c r="Z366" s="1219"/>
      <c r="AA366" s="1219"/>
    </row>
    <row r="367" spans="1:27">
      <c r="B367" s="17"/>
      <c r="C367" s="17" t="s">
        <v>920</v>
      </c>
      <c r="D367" s="17"/>
      <c r="E367" s="17"/>
      <c r="F367" s="17"/>
      <c r="G367" s="17"/>
      <c r="H367" s="17"/>
      <c r="I367" s="17"/>
      <c r="J367" s="17"/>
      <c r="K367" s="17"/>
      <c r="L367" s="17"/>
      <c r="M367" s="17"/>
      <c r="N367" s="17"/>
      <c r="O367" s="17"/>
      <c r="P367" s="17"/>
      <c r="V367" s="1219"/>
      <c r="W367" s="1219"/>
      <c r="X367" s="1219"/>
      <c r="Y367" s="1219"/>
      <c r="Z367" s="1219"/>
      <c r="AA367" s="1219"/>
    </row>
    <row r="368" spans="1:27">
      <c r="B368" s="17"/>
      <c r="C368" s="17" t="s">
        <v>921</v>
      </c>
      <c r="D368" s="17"/>
      <c r="E368" s="17"/>
      <c r="F368" s="17"/>
      <c r="G368" s="17"/>
      <c r="H368" s="17"/>
      <c r="I368" s="17"/>
      <c r="J368" s="17"/>
      <c r="K368" s="17"/>
      <c r="L368" s="17"/>
      <c r="M368" s="17"/>
      <c r="N368" s="17"/>
      <c r="O368" s="17"/>
      <c r="P368" s="17"/>
      <c r="V368" s="1219"/>
      <c r="W368" s="1219"/>
      <c r="X368" s="1219"/>
      <c r="Y368" s="1219"/>
      <c r="Z368" s="1219"/>
      <c r="AA368" s="1219"/>
    </row>
    <row r="369" spans="1:27">
      <c r="B369" s="17"/>
      <c r="C369" s="17" t="s">
        <v>922</v>
      </c>
      <c r="D369" s="17"/>
      <c r="E369" s="17"/>
      <c r="F369" s="17"/>
      <c r="G369" s="17"/>
      <c r="H369" s="17"/>
      <c r="I369" s="17"/>
      <c r="J369" s="17"/>
      <c r="K369" s="17"/>
      <c r="L369" s="17"/>
      <c r="M369" s="17"/>
      <c r="N369" s="17"/>
      <c r="O369" s="17"/>
      <c r="P369" s="17"/>
      <c r="V369" s="1219"/>
      <c r="W369" s="1219"/>
      <c r="X369" s="1219"/>
      <c r="Y369" s="1219"/>
      <c r="Z369" s="1219"/>
      <c r="AA369" s="1219"/>
    </row>
    <row r="370" spans="1:27">
      <c r="B370" s="17"/>
      <c r="C370" s="17" t="s">
        <v>923</v>
      </c>
      <c r="D370" s="17"/>
      <c r="E370" s="17"/>
      <c r="F370" s="17"/>
      <c r="G370" s="17"/>
      <c r="H370" s="17"/>
      <c r="I370" s="17"/>
      <c r="J370" s="17"/>
      <c r="K370" s="17"/>
      <c r="L370" s="17"/>
      <c r="M370" s="17"/>
      <c r="N370" s="17"/>
      <c r="O370" s="17"/>
      <c r="P370" s="17"/>
      <c r="V370" s="1219"/>
      <c r="W370" s="1219"/>
      <c r="X370" s="1219"/>
      <c r="Y370" s="1219"/>
      <c r="Z370" s="1219"/>
      <c r="AA370" s="1219"/>
    </row>
    <row r="371" spans="1:27">
      <c r="B371" s="17"/>
      <c r="C371" s="17" t="s">
        <v>924</v>
      </c>
      <c r="D371" s="17"/>
      <c r="E371" s="17"/>
      <c r="F371" s="17"/>
      <c r="G371" s="17"/>
      <c r="H371" s="17"/>
      <c r="I371" s="17"/>
      <c r="J371" s="17"/>
      <c r="K371" s="17"/>
      <c r="L371" s="17"/>
      <c r="M371" s="17"/>
      <c r="N371" s="17"/>
      <c r="O371" s="17"/>
      <c r="P371" s="17"/>
      <c r="V371" s="1219"/>
      <c r="W371" s="1219"/>
      <c r="X371" s="1219"/>
      <c r="Y371" s="1219"/>
      <c r="Z371" s="1219"/>
      <c r="AA371" s="1219"/>
    </row>
    <row r="372" spans="1:27">
      <c r="B372" s="17"/>
      <c r="C372" s="17" t="s">
        <v>925</v>
      </c>
      <c r="D372" s="17"/>
      <c r="E372" s="17"/>
      <c r="F372" s="17"/>
      <c r="G372" s="17"/>
      <c r="H372" s="17"/>
      <c r="I372" s="17"/>
      <c r="J372" s="17"/>
      <c r="K372" s="17"/>
      <c r="L372" s="17"/>
      <c r="M372" s="17"/>
      <c r="N372" s="17"/>
      <c r="O372" s="17"/>
      <c r="P372" s="17"/>
      <c r="V372" s="1219"/>
      <c r="W372" s="1219"/>
      <c r="X372" s="1219"/>
      <c r="Y372" s="1219"/>
      <c r="Z372" s="1219"/>
      <c r="AA372" s="1219"/>
    </row>
    <row r="373" spans="1:27">
      <c r="B373" s="17"/>
      <c r="C373" s="17" t="s">
        <v>926</v>
      </c>
      <c r="D373" s="17"/>
      <c r="E373" s="17"/>
      <c r="F373" s="17"/>
      <c r="G373" s="17"/>
      <c r="H373" s="17"/>
      <c r="I373" s="17"/>
      <c r="J373" s="17"/>
      <c r="K373" s="17"/>
      <c r="L373" s="17"/>
      <c r="M373" s="17"/>
      <c r="N373" s="17"/>
      <c r="O373" s="17"/>
      <c r="P373" s="17"/>
      <c r="V373" s="1219"/>
      <c r="W373" s="1219"/>
      <c r="X373" s="1219"/>
      <c r="Y373" s="1219"/>
      <c r="Z373" s="1219"/>
      <c r="AA373" s="1219"/>
    </row>
    <row r="374" spans="1:27">
      <c r="B374" s="17"/>
      <c r="C374" s="17" t="s">
        <v>927</v>
      </c>
      <c r="D374" s="17"/>
      <c r="E374" s="17"/>
      <c r="F374" s="17"/>
      <c r="G374" s="17"/>
      <c r="H374" s="17"/>
      <c r="I374" s="17"/>
      <c r="J374" s="17"/>
      <c r="K374" s="17"/>
      <c r="L374" s="17"/>
      <c r="M374" s="17"/>
      <c r="N374" s="17"/>
      <c r="O374" s="17"/>
      <c r="V374" s="1219"/>
      <c r="W374" s="1219"/>
      <c r="X374" s="1219"/>
      <c r="Y374" s="1219"/>
      <c r="Z374" s="1219"/>
      <c r="AA374" s="1219"/>
    </row>
    <row r="375" spans="1:27">
      <c r="B375" s="17"/>
      <c r="C375" s="17" t="s">
        <v>1492</v>
      </c>
      <c r="D375" s="17"/>
      <c r="E375" s="17"/>
      <c r="F375" s="17"/>
      <c r="G375" s="17"/>
      <c r="H375" s="17"/>
      <c r="I375" s="17"/>
      <c r="J375" s="17"/>
      <c r="K375" s="17"/>
      <c r="L375" s="17"/>
      <c r="M375" s="17"/>
      <c r="N375" s="17"/>
      <c r="O375" s="17"/>
      <c r="V375" s="1219"/>
      <c r="W375" s="1219"/>
      <c r="X375" s="1219"/>
      <c r="Y375" s="1219"/>
      <c r="Z375" s="1219"/>
      <c r="AA375" s="1219"/>
    </row>
    <row r="376" spans="1:27">
      <c r="V376" s="1219"/>
      <c r="W376" s="1219"/>
      <c r="X376" s="1219"/>
      <c r="Y376" s="1219"/>
      <c r="Z376" s="1219"/>
      <c r="AA376" s="1219"/>
    </row>
    <row r="377" spans="1:27" s="1545" customFormat="1">
      <c r="B377" s="1887" t="s">
        <v>1417</v>
      </c>
      <c r="P377" s="1548"/>
      <c r="Q377" s="1548"/>
      <c r="R377" s="1548"/>
      <c r="S377" s="1548"/>
      <c r="T377" s="1548"/>
      <c r="U377" s="1219"/>
      <c r="V377" s="1219"/>
      <c r="W377" s="1548"/>
      <c r="X377" s="1548"/>
      <c r="Y377" s="1548"/>
      <c r="Z377" s="1548"/>
      <c r="AA377" s="1548"/>
    </row>
    <row r="378" spans="1:27" s="1545" customFormat="1">
      <c r="B378" s="1888" t="s">
        <v>1497</v>
      </c>
      <c r="P378" s="1548"/>
      <c r="Q378" s="1548"/>
      <c r="R378" s="1548"/>
      <c r="S378" s="1548"/>
      <c r="T378" s="1548"/>
      <c r="U378" s="1219"/>
      <c r="V378" s="1219"/>
      <c r="W378" s="1548"/>
      <c r="X378" s="1548"/>
      <c r="Y378" s="1548"/>
      <c r="Z378" s="1548"/>
      <c r="AA378" s="1548"/>
    </row>
    <row r="379" spans="1:27">
      <c r="V379" s="1219"/>
      <c r="W379" s="1219"/>
      <c r="X379" s="1219"/>
      <c r="Y379" s="1219"/>
      <c r="Z379" s="1219"/>
      <c r="AA379" s="1219"/>
    </row>
    <row r="380" spans="1:27">
      <c r="A380" s="55" t="s">
        <v>1482</v>
      </c>
      <c r="B380" s="1552" t="s">
        <v>33</v>
      </c>
      <c r="C380" s="2457" t="s">
        <v>67</v>
      </c>
      <c r="D380" s="1553" t="s">
        <v>1406</v>
      </c>
      <c r="E380" s="1554"/>
      <c r="F380" s="1554"/>
      <c r="G380" s="1554"/>
      <c r="H380" s="1554"/>
      <c r="I380" s="1554"/>
      <c r="V380" s="1219"/>
      <c r="W380" s="1219"/>
      <c r="X380" s="1219"/>
      <c r="Y380" s="1219"/>
      <c r="Z380" s="1219"/>
      <c r="AA380" s="1219"/>
    </row>
    <row r="381" spans="1:27">
      <c r="B381" s="1555"/>
      <c r="C381" s="2459"/>
      <c r="D381" s="1204">
        <v>15</v>
      </c>
      <c r="E381" s="1193">
        <v>100</v>
      </c>
      <c r="F381" s="1193">
        <v>500</v>
      </c>
      <c r="G381" s="1193">
        <v>1000</v>
      </c>
      <c r="H381" s="1193">
        <v>5000</v>
      </c>
      <c r="I381" s="1193" t="s">
        <v>1405</v>
      </c>
      <c r="V381" s="1219"/>
      <c r="W381" s="1219"/>
      <c r="X381" s="1219"/>
      <c r="Y381" s="1219"/>
      <c r="Z381" s="1219"/>
      <c r="AA381" s="1219"/>
    </row>
    <row r="382" spans="1:27">
      <c r="B382" s="1613">
        <v>1</v>
      </c>
      <c r="C382" s="1614" t="s">
        <v>34</v>
      </c>
      <c r="D382" s="1551">
        <v>9.6699999999999998E-3</v>
      </c>
      <c r="E382" s="1551">
        <v>5.2300000000000003E-3</v>
      </c>
      <c r="F382" s="1551">
        <v>2.9099999999999998E-3</v>
      </c>
      <c r="G382" s="1551">
        <v>1.9400000000000001E-3</v>
      </c>
      <c r="H382" s="1551">
        <v>1.08E-3</v>
      </c>
      <c r="I382" s="1551">
        <v>7.2000000000000005E-4</v>
      </c>
      <c r="V382" s="1219"/>
      <c r="W382" s="1219"/>
      <c r="X382" s="1219"/>
      <c r="Y382" s="1219"/>
      <c r="Z382" s="1219"/>
      <c r="AA382" s="1219"/>
    </row>
    <row r="383" spans="1:27">
      <c r="B383" s="1613">
        <v>2</v>
      </c>
      <c r="C383" s="1614" t="s">
        <v>1467</v>
      </c>
      <c r="D383" s="1551">
        <v>9.6699999999999998E-3</v>
      </c>
      <c r="E383" s="1551">
        <v>5.2300000000000003E-3</v>
      </c>
      <c r="F383" s="1551">
        <v>2.9099999999999998E-3</v>
      </c>
      <c r="G383" s="1551">
        <v>1.9400000000000001E-3</v>
      </c>
      <c r="H383" s="1551">
        <v>1.08E-3</v>
      </c>
      <c r="I383" s="1551">
        <v>7.2000000000000005E-4</v>
      </c>
      <c r="V383" s="1219"/>
      <c r="W383" s="1219"/>
      <c r="X383" s="1219"/>
      <c r="Y383" s="1219"/>
      <c r="Z383" s="1219"/>
      <c r="AA383" s="1219"/>
    </row>
    <row r="384" spans="1:27">
      <c r="B384" s="1613">
        <v>3</v>
      </c>
      <c r="C384" s="1614" t="s">
        <v>36</v>
      </c>
      <c r="D384" s="1551">
        <v>6.7099999999999998E-3</v>
      </c>
      <c r="E384" s="1551">
        <v>3.63E-3</v>
      </c>
      <c r="F384" s="1551">
        <v>2.0200000000000001E-3</v>
      </c>
      <c r="G384" s="1551">
        <v>1.3500000000000001E-3</v>
      </c>
      <c r="H384" s="1551">
        <v>7.5000000000000002E-4</v>
      </c>
      <c r="I384" s="1551">
        <v>5.0000000000000001E-4</v>
      </c>
      <c r="V384" s="1219"/>
      <c r="W384" s="1219"/>
      <c r="X384" s="1219"/>
      <c r="Y384" s="1219"/>
      <c r="Z384" s="1219"/>
      <c r="AA384" s="1219"/>
    </row>
    <row r="385" spans="1:27">
      <c r="B385" s="1613">
        <v>4</v>
      </c>
      <c r="C385" s="1614" t="s">
        <v>1443</v>
      </c>
      <c r="D385" s="1551">
        <v>8.8800000000000007E-3</v>
      </c>
      <c r="E385" s="1551">
        <v>4.7999999999999996E-3</v>
      </c>
      <c r="F385" s="1551">
        <v>2.6700000000000001E-3</v>
      </c>
      <c r="G385" s="1551">
        <v>1.7799999999999999E-3</v>
      </c>
      <c r="H385" s="1551">
        <v>9.8999999999999999E-4</v>
      </c>
      <c r="I385" s="1551">
        <v>6.6E-4</v>
      </c>
      <c r="V385" s="1219"/>
      <c r="W385" s="1219"/>
      <c r="X385" s="1219"/>
      <c r="Y385" s="1219"/>
      <c r="Z385" s="1219"/>
      <c r="AA385" s="1219"/>
    </row>
    <row r="386" spans="1:27">
      <c r="B386" s="1613">
        <v>5</v>
      </c>
      <c r="C386" s="1614" t="s">
        <v>38</v>
      </c>
      <c r="D386" s="1551">
        <v>6.7099999999999998E-3</v>
      </c>
      <c r="E386" s="1551">
        <v>3.63E-3</v>
      </c>
      <c r="F386" s="1551">
        <v>2.0200000000000001E-3</v>
      </c>
      <c r="G386" s="1551">
        <v>1.3500000000000001E-3</v>
      </c>
      <c r="H386" s="1551">
        <v>7.5000000000000002E-4</v>
      </c>
      <c r="I386" s="1551">
        <v>5.0000000000000001E-4</v>
      </c>
      <c r="V386" s="1219"/>
      <c r="W386" s="1219"/>
      <c r="X386" s="1219"/>
      <c r="Y386" s="1219"/>
      <c r="Z386" s="1219"/>
      <c r="AA386" s="1219"/>
    </row>
    <row r="387" spans="1:27">
      <c r="A387" s="1906" t="s">
        <v>1501</v>
      </c>
      <c r="B387" s="1613">
        <v>6</v>
      </c>
      <c r="C387" s="1614" t="s">
        <v>1442</v>
      </c>
      <c r="D387" s="1551">
        <v>1.328E-2</v>
      </c>
      <c r="E387" s="1551">
        <v>7.1799999999999998E-3</v>
      </c>
      <c r="F387" s="1551">
        <v>3.9899999999999996E-3</v>
      </c>
      <c r="G387" s="1551">
        <v>2.66E-3</v>
      </c>
      <c r="H387" s="1551">
        <v>1.48E-3</v>
      </c>
      <c r="I387" s="1551">
        <v>9.8999999999999999E-4</v>
      </c>
      <c r="V387" s="1219"/>
      <c r="W387" s="1219"/>
      <c r="X387" s="1219"/>
      <c r="Y387" s="1219"/>
      <c r="Z387" s="1219"/>
      <c r="AA387" s="1219"/>
    </row>
    <row r="388" spans="1:27">
      <c r="B388" s="1219"/>
      <c r="C388" s="1883"/>
      <c r="D388" s="1884"/>
      <c r="E388" s="1884"/>
      <c r="F388" s="1884"/>
      <c r="G388" s="1884"/>
      <c r="H388" s="1884"/>
      <c r="I388" s="1884"/>
      <c r="V388" s="1219"/>
      <c r="W388" s="1219"/>
      <c r="X388" s="1219"/>
      <c r="Y388" s="1219"/>
      <c r="Z388" s="1219"/>
      <c r="AA388" s="1219"/>
    </row>
    <row r="389" spans="1:27">
      <c r="B389" s="1545" t="s">
        <v>1485</v>
      </c>
      <c r="D389" s="1545"/>
      <c r="E389" s="1545"/>
      <c r="F389" s="1545"/>
      <c r="G389" s="1545"/>
      <c r="H389" s="1545"/>
      <c r="I389" s="1545"/>
      <c r="J389" s="1545"/>
      <c r="K389" s="1545"/>
      <c r="L389" s="1545"/>
      <c r="M389" s="1545"/>
      <c r="N389" s="1545"/>
      <c r="V389" s="1219"/>
    </row>
    <row r="390" spans="1:27">
      <c r="B390" s="1886" t="s">
        <v>1438</v>
      </c>
    </row>
    <row r="391" spans="1:27">
      <c r="B391" s="1545" t="s">
        <v>1407</v>
      </c>
      <c r="C391" s="1545"/>
      <c r="D391" s="1545"/>
      <c r="E391" s="1545"/>
      <c r="F391" s="1545"/>
      <c r="G391" s="1545"/>
      <c r="H391" s="1545"/>
      <c r="I391" s="1545"/>
      <c r="J391" s="1545"/>
      <c r="K391" s="1545"/>
      <c r="L391" s="1545"/>
      <c r="M391" s="1545"/>
      <c r="N391" s="1545"/>
    </row>
    <row r="393" spans="1:27">
      <c r="A393" s="55" t="s">
        <v>1489</v>
      </c>
      <c r="B393" s="1552" t="s">
        <v>33</v>
      </c>
      <c r="C393" s="1552"/>
      <c r="D393" s="1572" t="s">
        <v>1408</v>
      </c>
      <c r="E393" s="1207"/>
      <c r="F393" s="1207"/>
      <c r="G393" s="1207"/>
      <c r="H393" s="1566"/>
    </row>
    <row r="394" spans="1:27">
      <c r="B394" s="1555"/>
      <c r="C394" s="1573"/>
      <c r="D394" s="1863">
        <v>5</v>
      </c>
      <c r="E394" s="1876">
        <v>15</v>
      </c>
      <c r="F394" s="1876">
        <v>30</v>
      </c>
      <c r="G394" s="1876">
        <v>50</v>
      </c>
      <c r="H394" s="1877">
        <v>50</v>
      </c>
    </row>
    <row r="395" spans="1:27">
      <c r="B395" s="1193">
        <v>1</v>
      </c>
      <c r="C395" s="1575" t="s">
        <v>1409</v>
      </c>
      <c r="D395" s="1574">
        <v>1.9</v>
      </c>
      <c r="E395" s="1574">
        <v>1.6</v>
      </c>
      <c r="F395" s="1574">
        <v>0.8</v>
      </c>
      <c r="G395" s="1574">
        <v>0.6</v>
      </c>
      <c r="H395" s="1574">
        <v>0.4</v>
      </c>
    </row>
    <row r="397" spans="1:27">
      <c r="B397" s="1545" t="s">
        <v>1410</v>
      </c>
      <c r="D397" s="1545"/>
      <c r="E397" s="1545"/>
      <c r="F397" s="1545"/>
      <c r="G397" s="1545"/>
      <c r="H397" s="1545"/>
      <c r="I397" s="1545"/>
      <c r="J397" s="1545"/>
      <c r="K397" s="1545"/>
      <c r="L397" s="1545"/>
      <c r="M397" s="1545"/>
      <c r="N397" s="1545"/>
    </row>
    <row r="399" spans="1:27" ht="31.5">
      <c r="A399" s="55" t="s">
        <v>1491</v>
      </c>
      <c r="B399" s="1552" t="s">
        <v>33</v>
      </c>
      <c r="C399" s="1552"/>
      <c r="D399" s="1576" t="s">
        <v>1411</v>
      </c>
      <c r="E399" s="1566"/>
    </row>
    <row r="400" spans="1:27">
      <c r="B400" s="1555"/>
      <c r="C400" s="1555"/>
      <c r="D400" s="1863">
        <v>5</v>
      </c>
      <c r="E400" s="1878">
        <v>5</v>
      </c>
    </row>
    <row r="401" spans="1:14">
      <c r="B401" s="1193">
        <v>1</v>
      </c>
      <c r="C401" s="992" t="s">
        <v>1409</v>
      </c>
      <c r="D401" s="1551">
        <v>0.54</v>
      </c>
      <c r="E401" s="1551">
        <v>0.5</v>
      </c>
    </row>
    <row r="403" spans="1:14">
      <c r="B403" s="1545" t="s">
        <v>1412</v>
      </c>
      <c r="D403" s="1545"/>
      <c r="E403" s="1545"/>
      <c r="F403" s="1545"/>
      <c r="G403" s="1545"/>
      <c r="H403" s="1545"/>
      <c r="I403" s="1545"/>
      <c r="J403" s="1545"/>
      <c r="K403" s="1545"/>
      <c r="L403" s="1545"/>
      <c r="M403" s="1545"/>
      <c r="N403" s="1545"/>
    </row>
    <row r="405" spans="1:14">
      <c r="A405" s="55" t="s">
        <v>1491</v>
      </c>
      <c r="B405" s="1552" t="s">
        <v>33</v>
      </c>
      <c r="C405" s="1552"/>
      <c r="D405" s="1554" t="s">
        <v>1413</v>
      </c>
      <c r="E405" s="1207"/>
      <c r="F405" s="1207"/>
      <c r="G405" s="1566"/>
    </row>
    <row r="406" spans="1:14">
      <c r="B406" s="1555"/>
      <c r="C406" s="1555"/>
      <c r="D406" s="1863">
        <v>1</v>
      </c>
      <c r="E406" s="1879">
        <v>1.6</v>
      </c>
      <c r="F406" s="1863">
        <v>2</v>
      </c>
      <c r="G406" s="1878">
        <v>2</v>
      </c>
    </row>
    <row r="407" spans="1:14">
      <c r="B407" s="1193">
        <v>1</v>
      </c>
      <c r="C407" s="992" t="s">
        <v>1409</v>
      </c>
      <c r="D407" s="1577">
        <v>2.1</v>
      </c>
      <c r="E407" s="1577">
        <v>1.89</v>
      </c>
      <c r="F407" s="1577">
        <v>1.6</v>
      </c>
      <c r="G407" s="1577">
        <v>1.45</v>
      </c>
    </row>
    <row r="409" spans="1:14">
      <c r="B409" s="1545" t="s">
        <v>1414</v>
      </c>
      <c r="D409" s="1518"/>
      <c r="E409" s="1518"/>
      <c r="F409" s="1518"/>
      <c r="G409" s="1518"/>
      <c r="H409" s="1518"/>
      <c r="I409" s="1518"/>
      <c r="J409" s="1518"/>
      <c r="K409" s="1518"/>
      <c r="L409" s="1518"/>
      <c r="M409" s="1518"/>
      <c r="N409" s="1518"/>
    </row>
    <row r="411" spans="1:14">
      <c r="A411" s="55" t="s">
        <v>1500</v>
      </c>
      <c r="B411" s="1552" t="s">
        <v>33</v>
      </c>
      <c r="C411" s="1552"/>
      <c r="D411" s="1554" t="s">
        <v>1415</v>
      </c>
      <c r="E411" s="1207"/>
      <c r="F411" s="1207"/>
      <c r="G411" s="1566"/>
    </row>
    <row r="412" spans="1:14">
      <c r="B412" s="1555"/>
      <c r="C412" s="1555"/>
      <c r="D412" s="1863">
        <v>50</v>
      </c>
      <c r="E412" s="1863">
        <v>180</v>
      </c>
      <c r="F412" s="1863">
        <v>400</v>
      </c>
      <c r="G412" s="1863">
        <v>750</v>
      </c>
    </row>
    <row r="413" spans="1:14">
      <c r="B413" s="1193">
        <v>1</v>
      </c>
      <c r="C413" s="992" t="s">
        <v>1409</v>
      </c>
      <c r="D413" s="1577">
        <v>7.2</v>
      </c>
      <c r="E413" s="1577">
        <v>4.05</v>
      </c>
      <c r="F413" s="1577">
        <v>2.7</v>
      </c>
      <c r="G413" s="1577">
        <v>1.8</v>
      </c>
    </row>
    <row r="415" spans="1:14">
      <c r="B415" s="1545" t="s">
        <v>1416</v>
      </c>
      <c r="D415" s="1545"/>
      <c r="E415" s="1545"/>
      <c r="F415" s="1545"/>
      <c r="G415" s="1545"/>
      <c r="H415" s="1545"/>
      <c r="I415" s="1545"/>
      <c r="J415" s="1545"/>
      <c r="K415" s="1545"/>
      <c r="L415" s="1545"/>
      <c r="M415" s="1545"/>
      <c r="N415" s="1545"/>
    </row>
    <row r="417" spans="1:14">
      <c r="A417" s="55" t="s">
        <v>1501</v>
      </c>
      <c r="B417" s="1552" t="s">
        <v>33</v>
      </c>
      <c r="C417" s="1552"/>
      <c r="D417" s="1554" t="s">
        <v>1413</v>
      </c>
      <c r="E417" s="1207"/>
      <c r="F417" s="1207"/>
      <c r="G417" s="1207"/>
      <c r="H417" s="1207"/>
      <c r="I417" s="1207"/>
      <c r="J417" s="1207"/>
      <c r="K417" s="1207"/>
      <c r="L417" s="1566"/>
    </row>
    <row r="418" spans="1:14">
      <c r="B418" s="1555"/>
      <c r="C418" s="1555"/>
      <c r="D418" s="1878">
        <v>16</v>
      </c>
      <c r="E418" s="1863">
        <v>25</v>
      </c>
      <c r="F418" s="1863">
        <v>40</v>
      </c>
      <c r="G418" s="1863">
        <v>63</v>
      </c>
      <c r="H418" s="1863">
        <v>125</v>
      </c>
      <c r="I418" s="1863">
        <v>250</v>
      </c>
      <c r="J418" s="1863">
        <v>450</v>
      </c>
      <c r="K418" s="1863">
        <v>600</v>
      </c>
      <c r="L418" s="1878">
        <v>600</v>
      </c>
    </row>
    <row r="419" spans="1:14">
      <c r="B419" s="1193">
        <v>1</v>
      </c>
      <c r="C419" s="992" t="s">
        <v>1409</v>
      </c>
      <c r="D419" s="1577">
        <v>1.35</v>
      </c>
      <c r="E419" s="1577">
        <v>1.35</v>
      </c>
      <c r="F419" s="1577">
        <v>1.17</v>
      </c>
      <c r="G419" s="1577">
        <v>1.08</v>
      </c>
      <c r="H419" s="1577">
        <v>0.9</v>
      </c>
      <c r="I419" s="1577">
        <v>0.72</v>
      </c>
      <c r="J419" s="1577">
        <v>0.63</v>
      </c>
      <c r="K419" s="1577">
        <v>0.6</v>
      </c>
      <c r="L419" s="1577">
        <v>0.56999999999999995</v>
      </c>
    </row>
    <row r="421" spans="1:14">
      <c r="B421" s="1545" t="s">
        <v>1439</v>
      </c>
      <c r="D421" s="1545"/>
      <c r="E421" s="1545"/>
      <c r="F421" s="1545"/>
      <c r="G421" s="1545"/>
      <c r="H421" s="1545"/>
      <c r="I421" s="1545"/>
      <c r="J421" s="1545"/>
      <c r="K421" s="1545"/>
      <c r="L421" s="1545"/>
      <c r="M421" s="1545"/>
      <c r="N421" s="1545"/>
    </row>
    <row r="423" spans="1:14">
      <c r="A423" s="55" t="s">
        <v>1502</v>
      </c>
      <c r="B423" s="1552" t="s">
        <v>33</v>
      </c>
      <c r="C423" s="1552"/>
      <c r="D423" s="1554" t="s">
        <v>1408</v>
      </c>
      <c r="E423" s="1207"/>
      <c r="F423" s="1207"/>
      <c r="G423" s="1207"/>
      <c r="H423" s="1207"/>
      <c r="I423" s="1207"/>
      <c r="J423" s="1207"/>
      <c r="K423" s="1207"/>
      <c r="L423" s="1207"/>
      <c r="M423" s="1207"/>
      <c r="N423" s="1566"/>
    </row>
    <row r="424" spans="1:14">
      <c r="B424" s="1555"/>
      <c r="C424" s="1555"/>
      <c r="D424" s="1863">
        <v>5</v>
      </c>
      <c r="E424" s="1863">
        <v>15</v>
      </c>
      <c r="F424" s="1863">
        <v>25</v>
      </c>
      <c r="G424" s="1863">
        <v>35</v>
      </c>
      <c r="H424" s="1863">
        <v>50</v>
      </c>
      <c r="I424" s="1863">
        <v>75</v>
      </c>
      <c r="J424" s="1863">
        <v>100</v>
      </c>
      <c r="K424" s="1863">
        <v>150</v>
      </c>
      <c r="L424" s="1863">
        <v>200</v>
      </c>
      <c r="M424" s="1863">
        <v>250</v>
      </c>
      <c r="N424" s="1880">
        <v>250</v>
      </c>
    </row>
    <row r="425" spans="1:14">
      <c r="B425" s="1193">
        <v>1</v>
      </c>
      <c r="C425" s="1550" t="s">
        <v>1409</v>
      </c>
      <c r="D425" s="1577">
        <v>0.78</v>
      </c>
      <c r="E425" s="1577">
        <v>0.52</v>
      </c>
      <c r="F425" s="1577">
        <v>0.44</v>
      </c>
      <c r="G425" s="1577">
        <v>0.37</v>
      </c>
      <c r="H425" s="1577">
        <v>0.34</v>
      </c>
      <c r="I425" s="1577">
        <v>0.3</v>
      </c>
      <c r="J425" s="1577">
        <v>0.26</v>
      </c>
      <c r="K425" s="1577">
        <v>0.25</v>
      </c>
      <c r="L425" s="1577">
        <v>0.23</v>
      </c>
      <c r="M425" s="1577">
        <v>0.22</v>
      </c>
      <c r="N425" s="1577">
        <v>0.16</v>
      </c>
    </row>
    <row r="426" spans="1:14">
      <c r="B426" s="1598"/>
      <c r="C426" s="1599"/>
      <c r="D426" s="1600"/>
      <c r="E426" s="1600"/>
      <c r="F426" s="1600"/>
      <c r="G426" s="1600"/>
      <c r="H426" s="1600"/>
      <c r="I426" s="1600"/>
      <c r="J426" s="1600"/>
      <c r="K426" s="1600"/>
      <c r="L426" s="1600"/>
      <c r="M426" s="1600"/>
      <c r="N426" s="1600"/>
    </row>
    <row r="427" spans="1:14">
      <c r="B427" s="1545" t="s">
        <v>1440</v>
      </c>
      <c r="C427" s="1601"/>
      <c r="D427" s="1602"/>
      <c r="E427" s="1602"/>
      <c r="F427" s="1602"/>
      <c r="G427" s="1602"/>
      <c r="H427" s="1602"/>
      <c r="I427" s="1602"/>
      <c r="J427" s="1602"/>
      <c r="K427" s="1602"/>
      <c r="L427" s="1602"/>
      <c r="M427" s="1602"/>
      <c r="N427" s="1602"/>
    </row>
    <row r="428" spans="1:14">
      <c r="B428" s="1219"/>
      <c r="C428" s="1601"/>
      <c r="D428" s="1602"/>
      <c r="E428" s="1602"/>
      <c r="F428" s="1602"/>
      <c r="G428" s="1602"/>
      <c r="H428" s="1602"/>
      <c r="I428" s="1602"/>
      <c r="J428" s="1602"/>
      <c r="K428" s="1602"/>
      <c r="L428" s="1602"/>
      <c r="M428" s="1602"/>
      <c r="N428" s="1602"/>
    </row>
    <row r="429" spans="1:14">
      <c r="A429" s="55" t="s">
        <v>1502</v>
      </c>
      <c r="B429" s="1552" t="s">
        <v>33</v>
      </c>
      <c r="C429" s="1552"/>
      <c r="D429" s="1554" t="s">
        <v>1408</v>
      </c>
      <c r="E429" s="1207"/>
      <c r="F429" s="1207"/>
      <c r="G429" s="1207"/>
      <c r="H429" s="1207"/>
      <c r="I429" s="1207"/>
      <c r="J429" s="1207"/>
      <c r="K429" s="1207"/>
      <c r="L429" s="1207"/>
      <c r="M429" s="1207"/>
      <c r="N429" s="1566"/>
    </row>
    <row r="430" spans="1:14">
      <c r="B430" s="1555"/>
      <c r="C430" s="1555"/>
      <c r="D430" s="1863">
        <v>5</v>
      </c>
      <c r="E430" s="1863">
        <v>15</v>
      </c>
      <c r="F430" s="1863">
        <v>25</v>
      </c>
      <c r="G430" s="1863">
        <v>35</v>
      </c>
      <c r="H430" s="1863">
        <v>50</v>
      </c>
      <c r="I430" s="1863">
        <v>75</v>
      </c>
      <c r="J430" s="1863">
        <v>100</v>
      </c>
      <c r="K430" s="1863">
        <v>150</v>
      </c>
      <c r="L430" s="1863">
        <v>200</v>
      </c>
      <c r="M430" s="1863">
        <v>250</v>
      </c>
      <c r="N430" s="1880">
        <v>250</v>
      </c>
    </row>
    <row r="431" spans="1:14">
      <c r="B431" s="1193">
        <v>1</v>
      </c>
      <c r="C431" s="1550" t="s">
        <v>1409</v>
      </c>
      <c r="D431" s="1577">
        <v>0.46</v>
      </c>
      <c r="E431" s="1577">
        <v>0.32</v>
      </c>
      <c r="F431" s="1577">
        <v>0.24</v>
      </c>
      <c r="G431" s="1577">
        <v>0.17</v>
      </c>
      <c r="H431" s="1577">
        <v>0.16</v>
      </c>
      <c r="I431" s="1577">
        <v>0.15</v>
      </c>
      <c r="J431" s="1577">
        <v>0.14000000000000001</v>
      </c>
      <c r="K431" s="1577">
        <v>0.13</v>
      </c>
      <c r="L431" s="1577">
        <v>0.12</v>
      </c>
      <c r="M431" s="1577">
        <v>0.1</v>
      </c>
      <c r="N431" s="1577">
        <v>0.08</v>
      </c>
    </row>
    <row r="432" spans="1:14">
      <c r="B432" s="1598"/>
      <c r="C432" s="1599"/>
      <c r="D432" s="1600"/>
      <c r="E432" s="1600"/>
      <c r="F432" s="1600"/>
      <c r="G432" s="1600"/>
      <c r="H432" s="1600"/>
      <c r="I432" s="1600"/>
      <c r="J432" s="1600"/>
      <c r="K432" s="1600"/>
      <c r="L432" s="1600"/>
      <c r="M432" s="1600"/>
      <c r="N432" s="1600"/>
    </row>
    <row r="433" spans="1:17">
      <c r="B433" s="1545" t="s">
        <v>1441</v>
      </c>
      <c r="C433" s="1601"/>
      <c r="D433" s="1602"/>
      <c r="E433" s="1602"/>
      <c r="F433" s="1602"/>
      <c r="G433" s="1602"/>
      <c r="H433" s="1602"/>
      <c r="I433" s="1602"/>
      <c r="J433" s="1602"/>
      <c r="K433" s="1602"/>
      <c r="L433" s="1602"/>
      <c r="M433" s="1602"/>
      <c r="N433" s="1602"/>
    </row>
    <row r="434" spans="1:17">
      <c r="B434" s="1219"/>
      <c r="C434" s="1601"/>
      <c r="D434" s="1602"/>
      <c r="E434" s="1602"/>
      <c r="F434" s="1602"/>
      <c r="G434" s="1602"/>
      <c r="H434" s="1602"/>
      <c r="I434" s="1602"/>
      <c r="J434" s="1602"/>
      <c r="K434" s="1602"/>
      <c r="L434" s="1602"/>
      <c r="M434" s="1602"/>
      <c r="N434" s="1602"/>
    </row>
    <row r="435" spans="1:17">
      <c r="A435" s="55" t="s">
        <v>1502</v>
      </c>
      <c r="B435" s="1552" t="s">
        <v>33</v>
      </c>
      <c r="C435" s="1552"/>
      <c r="D435" s="1554" t="s">
        <v>1408</v>
      </c>
      <c r="E435" s="1207"/>
      <c r="F435" s="1207"/>
      <c r="G435" s="1207"/>
      <c r="H435" s="1207"/>
      <c r="I435" s="1207"/>
      <c r="J435" s="1207"/>
      <c r="K435" s="1207"/>
      <c r="L435" s="1207"/>
      <c r="M435" s="1207"/>
      <c r="N435" s="1566"/>
    </row>
    <row r="436" spans="1:17">
      <c r="B436" s="1555"/>
      <c r="C436" s="1555"/>
      <c r="D436" s="1863">
        <v>5</v>
      </c>
      <c r="E436" s="1863">
        <v>15</v>
      </c>
      <c r="F436" s="1863">
        <v>25</v>
      </c>
      <c r="G436" s="1863">
        <v>35</v>
      </c>
      <c r="H436" s="1863">
        <v>50</v>
      </c>
      <c r="I436" s="1863">
        <v>75</v>
      </c>
      <c r="J436" s="1863">
        <v>100</v>
      </c>
      <c r="K436" s="1863">
        <v>150</v>
      </c>
      <c r="L436" s="1863">
        <v>200</v>
      </c>
      <c r="M436" s="1863">
        <v>250</v>
      </c>
      <c r="N436" s="1880">
        <v>250</v>
      </c>
    </row>
    <row r="437" spans="1:17">
      <c r="B437" s="1193">
        <v>1</v>
      </c>
      <c r="C437" s="1550" t="s">
        <v>1409</v>
      </c>
      <c r="D437" s="1577">
        <v>0.41</v>
      </c>
      <c r="E437" s="1577">
        <v>0.22</v>
      </c>
      <c r="F437" s="1577">
        <v>0.13</v>
      </c>
      <c r="G437" s="1577">
        <v>0.1</v>
      </c>
      <c r="H437" s="1577">
        <v>0.08</v>
      </c>
      <c r="I437" s="1577">
        <v>7.0000000000000007E-2</v>
      </c>
      <c r="J437" s="1577">
        <v>0.06</v>
      </c>
      <c r="K437" s="1577">
        <v>0.05</v>
      </c>
      <c r="L437" s="1577">
        <v>4.4999999999999998E-2</v>
      </c>
      <c r="M437" s="1577">
        <v>3.5999999999999997E-2</v>
      </c>
      <c r="N437" s="1577">
        <v>2.7E-2</v>
      </c>
    </row>
    <row r="439" spans="1:17">
      <c r="B439" s="1545" t="s">
        <v>1503</v>
      </c>
    </row>
    <row r="440" spans="1:17">
      <c r="B440" s="1545"/>
    </row>
    <row r="441" spans="1:17">
      <c r="B441" s="993" t="s">
        <v>1504</v>
      </c>
    </row>
    <row r="442" spans="1:17">
      <c r="Q442" s="1219" t="s">
        <v>1008</v>
      </c>
    </row>
    <row r="443" spans="1:17">
      <c r="B443" s="1552" t="s">
        <v>33</v>
      </c>
      <c r="C443" s="1552"/>
      <c r="D443" s="1554" t="s">
        <v>1505</v>
      </c>
      <c r="E443" s="1554"/>
      <c r="F443" s="1554"/>
      <c r="G443" s="1554"/>
      <c r="H443" s="1554"/>
      <c r="I443" s="1554"/>
      <c r="J443" s="1554"/>
      <c r="K443" s="1554"/>
      <c r="L443" s="1554"/>
      <c r="M443" s="1554"/>
      <c r="N443" s="1554"/>
      <c r="O443" s="1554"/>
      <c r="P443" s="1554"/>
      <c r="Q443" s="1554"/>
    </row>
    <row r="444" spans="1:17">
      <c r="B444" s="1555"/>
      <c r="C444" s="1555"/>
      <c r="D444" s="1863">
        <v>20</v>
      </c>
      <c r="E444" s="1895">
        <v>50</v>
      </c>
      <c r="F444" s="1895">
        <v>100</v>
      </c>
      <c r="G444" s="1895">
        <v>250</v>
      </c>
      <c r="H444" s="1895">
        <v>500</v>
      </c>
      <c r="I444" s="1895">
        <v>750</v>
      </c>
      <c r="J444" s="1895">
        <v>1000</v>
      </c>
      <c r="K444" s="1895">
        <v>2000</v>
      </c>
      <c r="L444" s="1895">
        <v>5000</v>
      </c>
      <c r="M444" s="1895">
        <v>10000</v>
      </c>
      <c r="N444" s="1896">
        <v>20000</v>
      </c>
      <c r="O444" s="1209">
        <v>30000</v>
      </c>
      <c r="P444" s="1867">
        <v>40000</v>
      </c>
      <c r="Q444" s="1867">
        <v>50000</v>
      </c>
    </row>
    <row r="445" spans="1:17">
      <c r="B445" s="1193">
        <v>1</v>
      </c>
      <c r="C445" s="1550" t="s">
        <v>1506</v>
      </c>
      <c r="D445" s="1894">
        <f>505.8*1000000</f>
        <v>505800000</v>
      </c>
      <c r="E445" s="1894">
        <f>732*1000000</f>
        <v>732000000</v>
      </c>
      <c r="F445" s="1894">
        <f>943*1000000</f>
        <v>943000000</v>
      </c>
      <c r="G445" s="1894">
        <f>1550*1000000</f>
        <v>1550000000</v>
      </c>
      <c r="H445" s="1894">
        <f>1865*1000000</f>
        <v>1865000000</v>
      </c>
      <c r="I445" s="1894">
        <f>2242.5*1000000</f>
        <v>2242500000</v>
      </c>
      <c r="J445" s="1894">
        <f>2490*1000000</f>
        <v>2490000000</v>
      </c>
      <c r="K445" s="1894">
        <f>2680*1000000</f>
        <v>2680000000</v>
      </c>
      <c r="L445" s="1894">
        <f>3550*1000000</f>
        <v>3550000000</v>
      </c>
      <c r="M445" s="1894">
        <f>5300*1000000</f>
        <v>5300000000</v>
      </c>
      <c r="N445" s="1894">
        <f>6400*1000000</f>
        <v>6400000000</v>
      </c>
      <c r="O445" s="1209">
        <f>8700*1000000</f>
        <v>8700000000</v>
      </c>
      <c r="P445" s="1867">
        <f>9600*1000000</f>
        <v>9600000000</v>
      </c>
      <c r="Q445" s="1867">
        <f>10500*1000000</f>
        <v>10500000000</v>
      </c>
    </row>
    <row r="447" spans="1:17">
      <c r="B447" s="993" t="s">
        <v>1507</v>
      </c>
      <c r="G447" s="1891"/>
      <c r="H447" s="1891"/>
      <c r="I447" s="1892"/>
      <c r="J447" s="1891"/>
      <c r="K447" s="1891"/>
      <c r="L447" s="1891"/>
      <c r="M447" s="1891"/>
      <c r="N447" s="1891"/>
      <c r="O447" s="1891"/>
      <c r="P447" s="1890"/>
      <c r="Q447" s="1890"/>
    </row>
    <row r="448" spans="1:17">
      <c r="Q448" s="1219" t="s">
        <v>1008</v>
      </c>
    </row>
    <row r="449" spans="2:17">
      <c r="B449" s="1552" t="s">
        <v>33</v>
      </c>
      <c r="C449" s="1552"/>
      <c r="D449" s="1554" t="s">
        <v>1505</v>
      </c>
      <c r="E449" s="1554"/>
      <c r="F449" s="1554"/>
      <c r="G449" s="1554"/>
      <c r="H449" s="1554"/>
      <c r="I449" s="1554"/>
      <c r="J449" s="1554"/>
      <c r="K449" s="1554"/>
      <c r="L449" s="1554"/>
      <c r="M449" s="1554"/>
      <c r="N449" s="1554"/>
      <c r="O449" s="1554"/>
      <c r="P449" s="1554"/>
      <c r="Q449" s="1554"/>
    </row>
    <row r="450" spans="2:17">
      <c r="B450" s="1555"/>
      <c r="C450" s="1555"/>
      <c r="D450" s="1863">
        <v>20</v>
      </c>
      <c r="E450" s="1895">
        <v>50</v>
      </c>
      <c r="F450" s="1895">
        <v>100</v>
      </c>
      <c r="G450" s="1895">
        <v>250</v>
      </c>
      <c r="H450" s="1895">
        <v>500</v>
      </c>
      <c r="I450" s="1895">
        <v>750</v>
      </c>
      <c r="J450" s="1895">
        <v>1000</v>
      </c>
      <c r="K450" s="1895">
        <v>2000</v>
      </c>
      <c r="L450" s="1895">
        <v>5000</v>
      </c>
      <c r="M450" s="1895">
        <v>10000</v>
      </c>
      <c r="N450" s="1896">
        <v>20000</v>
      </c>
      <c r="O450" s="1209">
        <v>30000</v>
      </c>
      <c r="P450" s="1867">
        <v>40000</v>
      </c>
      <c r="Q450" s="1867">
        <v>50000</v>
      </c>
    </row>
    <row r="451" spans="2:17">
      <c r="B451" s="1193">
        <v>1</v>
      </c>
      <c r="C451" s="1550" t="s">
        <v>1508</v>
      </c>
      <c r="D451" s="1894">
        <v>53350000</v>
      </c>
      <c r="E451" s="1894">
        <v>63710000</v>
      </c>
      <c r="F451" s="1894">
        <v>76110000</v>
      </c>
      <c r="G451" s="1894">
        <v>106250000</v>
      </c>
      <c r="H451" s="1894">
        <v>116680000</v>
      </c>
      <c r="I451" s="1894">
        <v>131110000.00000001</v>
      </c>
      <c r="J451" s="1894">
        <v>141670000</v>
      </c>
      <c r="K451" s="1894">
        <v>149260000</v>
      </c>
      <c r="L451" s="1894">
        <v>178150000</v>
      </c>
      <c r="M451" s="1894">
        <v>211740000</v>
      </c>
      <c r="N451" s="1894">
        <v>231040000</v>
      </c>
      <c r="O451" s="1209">
        <v>276080000</v>
      </c>
      <c r="P451" s="1867">
        <v>293120000</v>
      </c>
      <c r="Q451" s="1867">
        <v>315000000</v>
      </c>
    </row>
    <row r="453" spans="2:17">
      <c r="B453" s="993" t="s">
        <v>1510</v>
      </c>
    </row>
    <row r="454" spans="2:17">
      <c r="N454" s="1884" t="s">
        <v>1008</v>
      </c>
    </row>
    <row r="455" spans="2:17">
      <c r="B455" s="1552" t="s">
        <v>33</v>
      </c>
      <c r="C455" s="1552"/>
      <c r="D455" s="1554" t="s">
        <v>1509</v>
      </c>
      <c r="E455" s="1554"/>
      <c r="F455" s="1554"/>
      <c r="G455" s="1554"/>
      <c r="H455" s="1554"/>
      <c r="I455" s="1554"/>
      <c r="J455" s="1554"/>
      <c r="K455" s="1554"/>
      <c r="L455" s="1554"/>
      <c r="M455" s="1554"/>
      <c r="N455" s="1554"/>
      <c r="O455" s="1898"/>
      <c r="P455" s="55"/>
      <c r="Q455" s="55"/>
    </row>
    <row r="456" spans="2:17">
      <c r="B456" s="1555"/>
      <c r="C456" s="1555"/>
      <c r="D456" s="1863">
        <v>500</v>
      </c>
      <c r="E456" s="1895">
        <v>1000</v>
      </c>
      <c r="F456" s="1895">
        <v>5000</v>
      </c>
      <c r="G456" s="1895">
        <v>10000</v>
      </c>
      <c r="H456" s="1895">
        <v>15000</v>
      </c>
      <c r="I456" s="1895">
        <v>20000</v>
      </c>
      <c r="J456" s="1895">
        <v>25000</v>
      </c>
      <c r="K456" s="1895">
        <v>30000</v>
      </c>
      <c r="L456" s="1895">
        <v>50000</v>
      </c>
      <c r="M456" s="1895">
        <v>150000</v>
      </c>
      <c r="N456" s="1896">
        <v>360000</v>
      </c>
      <c r="O456" s="1897"/>
      <c r="P456" s="1890"/>
      <c r="Q456" s="1890"/>
    </row>
    <row r="457" spans="2:17">
      <c r="B457" s="1193">
        <v>1</v>
      </c>
      <c r="C457" s="1550" t="s">
        <v>1512</v>
      </c>
      <c r="D457" s="1894">
        <v>1170000000</v>
      </c>
      <c r="E457" s="1894">
        <v>1570000000</v>
      </c>
      <c r="F457" s="1894">
        <v>2750000000</v>
      </c>
      <c r="G457" s="1894">
        <v>3200000000</v>
      </c>
      <c r="H457" s="1894">
        <v>3750000000</v>
      </c>
      <c r="I457" s="1894">
        <v>4200000000</v>
      </c>
      <c r="J457" s="1894">
        <v>4500000000</v>
      </c>
      <c r="K457" s="1894">
        <v>4800000000</v>
      </c>
      <c r="L457" s="1894">
        <v>7000000000</v>
      </c>
      <c r="M457" s="1894">
        <v>15000000000</v>
      </c>
      <c r="N457" s="1894">
        <v>28800000000</v>
      </c>
      <c r="O457" s="1897"/>
      <c r="P457" s="1890"/>
      <c r="Q457" s="1890"/>
    </row>
    <row r="459" spans="2:17">
      <c r="B459" s="993" t="s">
        <v>1511</v>
      </c>
    </row>
    <row r="460" spans="2:17">
      <c r="N460" s="1884" t="s">
        <v>1008</v>
      </c>
    </row>
    <row r="461" spans="2:17">
      <c r="B461" s="1552" t="s">
        <v>33</v>
      </c>
      <c r="C461" s="1552"/>
      <c r="D461" s="1554" t="s">
        <v>1509</v>
      </c>
      <c r="E461" s="1554"/>
      <c r="F461" s="1554"/>
      <c r="G461" s="1554"/>
      <c r="H461" s="1554"/>
      <c r="I461" s="1554"/>
      <c r="J461" s="1554"/>
      <c r="K461" s="1554"/>
      <c r="L461" s="1554"/>
      <c r="M461" s="1554"/>
      <c r="N461" s="1554"/>
    </row>
    <row r="462" spans="2:17">
      <c r="B462" s="1555"/>
      <c r="C462" s="1555"/>
      <c r="D462" s="1863">
        <v>500</v>
      </c>
      <c r="E462" s="1895">
        <v>1000</v>
      </c>
      <c r="F462" s="1895">
        <v>5000</v>
      </c>
      <c r="G462" s="1895">
        <v>10000</v>
      </c>
      <c r="H462" s="1895">
        <v>15000</v>
      </c>
      <c r="I462" s="1895">
        <v>20000</v>
      </c>
      <c r="J462" s="1895">
        <v>25000</v>
      </c>
      <c r="K462" s="1895">
        <v>30000</v>
      </c>
      <c r="L462" s="1895">
        <v>50000</v>
      </c>
      <c r="M462" s="1895">
        <v>150000</v>
      </c>
      <c r="N462" s="1896">
        <v>360000</v>
      </c>
    </row>
    <row r="463" spans="2:17">
      <c r="B463" s="1193">
        <v>1</v>
      </c>
      <c r="C463" s="1550" t="s">
        <v>1511</v>
      </c>
      <c r="D463" s="1894">
        <v>15000000</v>
      </c>
      <c r="E463" s="1894">
        <v>20700000</v>
      </c>
      <c r="F463" s="1894">
        <v>43000000</v>
      </c>
      <c r="G463" s="1894">
        <v>52000000</v>
      </c>
      <c r="H463" s="1894">
        <v>63000000</v>
      </c>
      <c r="I463" s="1894">
        <v>72000000</v>
      </c>
      <c r="J463" s="1894">
        <v>80000000</v>
      </c>
      <c r="K463" s="1894">
        <v>84000000</v>
      </c>
      <c r="L463" s="1894">
        <v>135000000</v>
      </c>
      <c r="M463" s="1894">
        <v>360000000</v>
      </c>
      <c r="N463" s="1894">
        <v>720000000</v>
      </c>
    </row>
    <row r="465" spans="2:17">
      <c r="B465" s="993" t="s">
        <v>1513</v>
      </c>
    </row>
    <row r="466" spans="2:17">
      <c r="N466" s="1884"/>
    </row>
    <row r="467" spans="2:17">
      <c r="B467" s="1552" t="s">
        <v>33</v>
      </c>
      <c r="C467" s="1552"/>
      <c r="D467" s="1554" t="s">
        <v>1516</v>
      </c>
      <c r="E467" s="1554"/>
      <c r="F467" s="1554"/>
      <c r="G467" s="1554"/>
      <c r="H467" s="1554"/>
      <c r="I467" s="1554"/>
      <c r="J467" s="1554"/>
      <c r="K467" s="1554"/>
      <c r="L467" s="1554"/>
      <c r="M467" s="1898"/>
    </row>
    <row r="468" spans="2:17">
      <c r="B468" s="1555"/>
      <c r="C468" s="1555"/>
      <c r="D468" s="1895">
        <v>200</v>
      </c>
      <c r="E468" s="1895">
        <v>400</v>
      </c>
      <c r="F468" s="1895">
        <v>1000</v>
      </c>
      <c r="G468" s="1895">
        <v>1500</v>
      </c>
      <c r="H468" s="1895">
        <v>2000</v>
      </c>
      <c r="I468" s="1895">
        <v>3000</v>
      </c>
      <c r="J468" s="1895">
        <v>4000</v>
      </c>
      <c r="K468" s="1895">
        <v>6000</v>
      </c>
      <c r="L468" s="1895">
        <v>8000</v>
      </c>
      <c r="M468" s="1908"/>
      <c r="N468" s="1909"/>
    </row>
    <row r="469" spans="2:17">
      <c r="B469" s="1193">
        <v>1</v>
      </c>
      <c r="C469" s="1550" t="s">
        <v>1517</v>
      </c>
      <c r="D469" s="1574">
        <v>0.25</v>
      </c>
      <c r="E469" s="1574">
        <v>1</v>
      </c>
      <c r="F469" s="1574">
        <v>1.1499999999999999</v>
      </c>
      <c r="G469" s="1574">
        <v>1.3</v>
      </c>
      <c r="H469" s="1574">
        <v>1.45</v>
      </c>
      <c r="I469" s="1574">
        <v>1.6</v>
      </c>
      <c r="J469" s="1574">
        <v>1.72</v>
      </c>
      <c r="K469" s="1574">
        <v>1.85</v>
      </c>
      <c r="L469" s="1574">
        <v>2</v>
      </c>
      <c r="M469" s="1910"/>
      <c r="N469" s="1911"/>
    </row>
    <row r="471" spans="2:17">
      <c r="B471" s="993" t="s">
        <v>1518</v>
      </c>
    </row>
    <row r="472" spans="2:17">
      <c r="M472" s="1219" t="s">
        <v>1008</v>
      </c>
    </row>
    <row r="473" spans="2:17">
      <c r="B473" s="1552" t="s">
        <v>33</v>
      </c>
      <c r="C473" s="1552"/>
      <c r="D473" s="1554" t="s">
        <v>1519</v>
      </c>
      <c r="E473" s="1554"/>
      <c r="F473" s="1554"/>
      <c r="G473" s="1554"/>
      <c r="H473" s="1554"/>
      <c r="I473" s="1554"/>
      <c r="J473" s="1554"/>
      <c r="K473" s="1554"/>
      <c r="L473" s="1554"/>
      <c r="M473" s="1554"/>
      <c r="N473" s="1898"/>
      <c r="P473" s="55"/>
      <c r="Q473" s="55"/>
    </row>
    <row r="474" spans="2:17">
      <c r="B474" s="1555"/>
      <c r="C474" s="1555"/>
      <c r="D474" s="1895">
        <v>75</v>
      </c>
      <c r="E474" s="1895">
        <v>100</v>
      </c>
      <c r="F474" s="1895">
        <v>200</v>
      </c>
      <c r="G474" s="1895">
        <v>300</v>
      </c>
      <c r="H474" s="1895">
        <v>500</v>
      </c>
      <c r="I474" s="1895">
        <v>750</v>
      </c>
      <c r="J474" s="1895">
        <v>1000</v>
      </c>
      <c r="K474" s="1895">
        <v>2000</v>
      </c>
      <c r="L474" s="1895">
        <v>3000</v>
      </c>
      <c r="M474" s="1895">
        <v>5000</v>
      </c>
      <c r="N474" s="1912"/>
      <c r="O474" s="1891"/>
      <c r="P474" s="1890"/>
      <c r="Q474" s="1890"/>
    </row>
    <row r="475" spans="2:17">
      <c r="B475" s="1193">
        <v>1</v>
      </c>
      <c r="C475" s="1550" t="s">
        <v>1506</v>
      </c>
      <c r="D475" s="1894">
        <v>731250000</v>
      </c>
      <c r="E475" s="1894">
        <v>853000000</v>
      </c>
      <c r="F475" s="1894">
        <v>1294000000</v>
      </c>
      <c r="G475" s="1894">
        <v>1356000000</v>
      </c>
      <c r="H475" s="1894">
        <v>1525000000</v>
      </c>
      <c r="I475" s="1894">
        <v>1830000000</v>
      </c>
      <c r="J475" s="1894">
        <v>2080000000</v>
      </c>
      <c r="K475" s="1894">
        <v>3520000000</v>
      </c>
      <c r="L475" s="1894">
        <v>4440000000</v>
      </c>
      <c r="M475" s="1894">
        <v>5700000000</v>
      </c>
      <c r="N475" s="1910"/>
      <c r="O475" s="1891"/>
      <c r="P475" s="1890"/>
      <c r="Q475" s="1890"/>
    </row>
    <row r="476" spans="2:17">
      <c r="M476" s="1913"/>
    </row>
    <row r="477" spans="2:17">
      <c r="B477" s="993" t="s">
        <v>1520</v>
      </c>
    </row>
    <row r="478" spans="2:17">
      <c r="M478" s="1219" t="s">
        <v>1008</v>
      </c>
    </row>
    <row r="479" spans="2:17">
      <c r="B479" s="1552" t="s">
        <v>33</v>
      </c>
      <c r="C479" s="1552"/>
      <c r="D479" s="1554" t="s">
        <v>1519</v>
      </c>
      <c r="E479" s="1554"/>
      <c r="F479" s="1554"/>
      <c r="G479" s="1554"/>
      <c r="H479" s="1554"/>
      <c r="I479" s="1554"/>
      <c r="J479" s="1554"/>
      <c r="K479" s="1554"/>
      <c r="L479" s="1554"/>
      <c r="M479" s="1554"/>
    </row>
    <row r="480" spans="2:17">
      <c r="B480" s="1555"/>
      <c r="C480" s="1555"/>
      <c r="D480" s="1895">
        <v>75</v>
      </c>
      <c r="E480" s="1895">
        <v>100</v>
      </c>
      <c r="F480" s="1895">
        <v>200</v>
      </c>
      <c r="G480" s="1895">
        <v>300</v>
      </c>
      <c r="H480" s="1895">
        <v>500</v>
      </c>
      <c r="I480" s="1895">
        <v>750</v>
      </c>
      <c r="J480" s="1895">
        <v>1000</v>
      </c>
      <c r="K480" s="1895">
        <v>2000</v>
      </c>
      <c r="L480" s="1895">
        <v>3000</v>
      </c>
      <c r="M480" s="1895">
        <v>5000</v>
      </c>
    </row>
    <row r="481" spans="2:15">
      <c r="B481" s="1193">
        <v>1</v>
      </c>
      <c r="C481" s="1550" t="s">
        <v>1508</v>
      </c>
      <c r="D481" s="1894">
        <v>63660000</v>
      </c>
      <c r="E481" s="1894">
        <v>71150000</v>
      </c>
      <c r="F481" s="1894">
        <v>95000000</v>
      </c>
      <c r="G481" s="1894">
        <v>97950000</v>
      </c>
      <c r="H481" s="1894">
        <v>105260000</v>
      </c>
      <c r="I481" s="1894">
        <v>115710000</v>
      </c>
      <c r="J481" s="1894">
        <v>123750000</v>
      </c>
      <c r="K481" s="1894">
        <v>177310000</v>
      </c>
      <c r="L481" s="1894">
        <v>197790000</v>
      </c>
      <c r="M481" s="1894">
        <v>219740000</v>
      </c>
    </row>
    <row r="483" spans="2:15">
      <c r="B483" s="993" t="s">
        <v>1521</v>
      </c>
    </row>
    <row r="484" spans="2:15">
      <c r="O484" s="1219" t="s">
        <v>1008</v>
      </c>
    </row>
    <row r="485" spans="2:15">
      <c r="B485" s="1552" t="s">
        <v>33</v>
      </c>
      <c r="C485" s="1552"/>
      <c r="D485" s="1554" t="s">
        <v>1519</v>
      </c>
      <c r="E485" s="1554"/>
      <c r="F485" s="1554"/>
      <c r="G485" s="1554"/>
      <c r="H485" s="1554"/>
      <c r="I485" s="1554"/>
      <c r="J485" s="1554"/>
      <c r="K485" s="1554"/>
      <c r="L485" s="1554"/>
      <c r="M485" s="1554"/>
      <c r="N485" s="1554"/>
      <c r="O485" s="1554"/>
    </row>
    <row r="486" spans="2:15">
      <c r="B486" s="1555"/>
      <c r="C486" s="1555"/>
      <c r="D486" s="1870">
        <v>5</v>
      </c>
      <c r="E486" s="1914">
        <v>10</v>
      </c>
      <c r="F486" s="1914">
        <v>20</v>
      </c>
      <c r="G486" s="1914">
        <v>30</v>
      </c>
      <c r="H486" s="1914">
        <v>50</v>
      </c>
      <c r="I486" s="1914">
        <v>75</v>
      </c>
      <c r="J486" s="1914">
        <v>100</v>
      </c>
      <c r="K486" s="1914">
        <v>200</v>
      </c>
      <c r="L486" s="1914">
        <v>300</v>
      </c>
      <c r="M486" s="1914">
        <v>500</v>
      </c>
      <c r="N486" s="1193">
        <v>750</v>
      </c>
      <c r="O486" s="1867">
        <v>1000</v>
      </c>
    </row>
    <row r="487" spans="2:15">
      <c r="B487" s="1193">
        <v>1</v>
      </c>
      <c r="C487" s="1550" t="s">
        <v>1506</v>
      </c>
      <c r="D487" s="1894">
        <v>281450000</v>
      </c>
      <c r="E487" s="1894">
        <v>412800000</v>
      </c>
      <c r="F487" s="1894">
        <v>675400000</v>
      </c>
      <c r="G487" s="1894">
        <v>788100000</v>
      </c>
      <c r="H487" s="1894">
        <v>938000000</v>
      </c>
      <c r="I487" s="1894">
        <v>1125750000</v>
      </c>
      <c r="J487" s="1894">
        <v>1314000000</v>
      </c>
      <c r="K487" s="1894">
        <v>1840000000</v>
      </c>
      <c r="L487" s="1894">
        <v>2082000000</v>
      </c>
      <c r="M487" s="1894">
        <v>2350000000</v>
      </c>
      <c r="N487" s="1209">
        <v>2812500000</v>
      </c>
      <c r="O487" s="1209">
        <v>3190000000</v>
      </c>
    </row>
    <row r="489" spans="2:15">
      <c r="B489" s="993" t="s">
        <v>1522</v>
      </c>
    </row>
    <row r="490" spans="2:15">
      <c r="O490" s="1219" t="s">
        <v>1008</v>
      </c>
    </row>
    <row r="491" spans="2:15">
      <c r="B491" s="1552" t="s">
        <v>33</v>
      </c>
      <c r="C491" s="1552"/>
      <c r="D491" s="1554" t="s">
        <v>1519</v>
      </c>
      <c r="E491" s="1554"/>
      <c r="F491" s="1554"/>
      <c r="G491" s="1554"/>
      <c r="H491" s="1554"/>
      <c r="I491" s="1554"/>
      <c r="J491" s="1554"/>
      <c r="K491" s="1554"/>
      <c r="L491" s="1554"/>
      <c r="M491" s="1554"/>
      <c r="N491" s="1554"/>
      <c r="O491" s="1554"/>
    </row>
    <row r="492" spans="2:15">
      <c r="B492" s="1555"/>
      <c r="C492" s="1555"/>
      <c r="D492" s="1870">
        <v>5</v>
      </c>
      <c r="E492" s="1914">
        <v>10</v>
      </c>
      <c r="F492" s="1914">
        <v>20</v>
      </c>
      <c r="G492" s="1914">
        <v>30</v>
      </c>
      <c r="H492" s="1914">
        <v>50</v>
      </c>
      <c r="I492" s="1914">
        <v>75</v>
      </c>
      <c r="J492" s="1914">
        <v>100</v>
      </c>
      <c r="K492" s="1914">
        <v>200</v>
      </c>
      <c r="L492" s="1914">
        <v>300</v>
      </c>
      <c r="M492" s="1914">
        <v>500</v>
      </c>
      <c r="N492" s="1193">
        <v>750</v>
      </c>
      <c r="O492" s="1867">
        <v>1000</v>
      </c>
    </row>
    <row r="493" spans="2:15">
      <c r="B493" s="1193">
        <v>1</v>
      </c>
      <c r="C493" s="1550" t="s">
        <v>1508</v>
      </c>
      <c r="D493" s="1894">
        <v>37010000</v>
      </c>
      <c r="E493" s="1894">
        <v>47960000</v>
      </c>
      <c r="F493" s="1894">
        <v>60930000</v>
      </c>
      <c r="G493" s="1894">
        <v>67270000</v>
      </c>
      <c r="H493" s="1894">
        <v>75850000</v>
      </c>
      <c r="I493" s="1894">
        <v>86240000</v>
      </c>
      <c r="J493" s="1894">
        <v>95970000</v>
      </c>
      <c r="K493" s="1894">
        <v>115990000</v>
      </c>
      <c r="L493" s="1894">
        <v>123840000</v>
      </c>
      <c r="M493" s="1894">
        <v>135790000</v>
      </c>
      <c r="N493" s="1209">
        <v>154280000</v>
      </c>
      <c r="O493" s="1209">
        <v>167360000</v>
      </c>
    </row>
    <row r="495" spans="2:15">
      <c r="B495" s="993" t="s">
        <v>1523</v>
      </c>
    </row>
    <row r="497" spans="2:4">
      <c r="B497" s="992" t="s">
        <v>33</v>
      </c>
      <c r="C497" s="992"/>
      <c r="D497" s="992" t="s">
        <v>1524</v>
      </c>
    </row>
    <row r="498" spans="2:4">
      <c r="B498" s="992"/>
      <c r="C498" s="992"/>
      <c r="D498" s="992"/>
    </row>
    <row r="499" spans="2:4">
      <c r="B499" s="992">
        <v>1</v>
      </c>
      <c r="C499" s="1915" t="s">
        <v>1525</v>
      </c>
      <c r="D499" s="1550">
        <v>50</v>
      </c>
    </row>
    <row r="500" spans="2:4">
      <c r="B500" s="992">
        <v>2</v>
      </c>
      <c r="C500" s="992" t="s">
        <v>1526</v>
      </c>
      <c r="D500" s="992">
        <v>46</v>
      </c>
    </row>
    <row r="501" spans="2:4">
      <c r="B501" s="992">
        <v>3</v>
      </c>
      <c r="C501" s="992" t="s">
        <v>1527</v>
      </c>
      <c r="D501" s="992">
        <v>25</v>
      </c>
    </row>
    <row r="502" spans="2:4">
      <c r="B502" s="992">
        <v>4</v>
      </c>
      <c r="C502" s="992" t="s">
        <v>1528</v>
      </c>
      <c r="D502" s="992">
        <v>35</v>
      </c>
    </row>
    <row r="503" spans="2:4">
      <c r="B503" s="992">
        <v>5</v>
      </c>
      <c r="C503" s="992" t="s">
        <v>1529</v>
      </c>
      <c r="D503" s="992">
        <v>19</v>
      </c>
    </row>
    <row r="504" spans="2:4">
      <c r="B504" s="992">
        <v>6</v>
      </c>
      <c r="C504" s="992" t="s">
        <v>1530</v>
      </c>
      <c r="D504" s="992">
        <v>11</v>
      </c>
    </row>
    <row r="505" spans="2:4">
      <c r="B505" s="992">
        <v>7</v>
      </c>
      <c r="C505" s="992" t="s">
        <v>1531</v>
      </c>
      <c r="D505" s="992">
        <v>12</v>
      </c>
    </row>
    <row r="506" spans="2:4">
      <c r="B506" s="992">
        <v>8</v>
      </c>
      <c r="C506" s="992" t="s">
        <v>1532</v>
      </c>
      <c r="D506" s="992">
        <v>15</v>
      </c>
    </row>
    <row r="507" spans="2:4">
      <c r="B507" s="992">
        <v>9</v>
      </c>
      <c r="C507" s="992" t="s">
        <v>1533</v>
      </c>
      <c r="D507" s="992">
        <v>17</v>
      </c>
    </row>
    <row r="510" spans="2:4">
      <c r="B510" s="993" t="s">
        <v>1523</v>
      </c>
    </row>
    <row r="512" spans="2:4">
      <c r="B512" s="992" t="s">
        <v>33</v>
      </c>
      <c r="C512" s="992"/>
      <c r="D512" s="992" t="s">
        <v>1524</v>
      </c>
    </row>
    <row r="513" spans="2:4">
      <c r="B513" s="992"/>
      <c r="C513" s="992"/>
      <c r="D513" s="992"/>
    </row>
    <row r="514" spans="2:4">
      <c r="B514" s="992">
        <v>1</v>
      </c>
      <c r="C514" s="1915" t="s">
        <v>1525</v>
      </c>
      <c r="D514" s="1550">
        <v>50</v>
      </c>
    </row>
    <row r="515" spans="2:4">
      <c r="B515" s="992">
        <v>2</v>
      </c>
      <c r="C515" s="992" t="s">
        <v>1526</v>
      </c>
      <c r="D515" s="992">
        <v>46</v>
      </c>
    </row>
    <row r="516" spans="2:4">
      <c r="B516" s="992">
        <v>3</v>
      </c>
      <c r="C516" s="992" t="s">
        <v>1527</v>
      </c>
      <c r="D516" s="992">
        <v>25</v>
      </c>
    </row>
    <row r="517" spans="2:4">
      <c r="B517" s="992">
        <v>4</v>
      </c>
      <c r="C517" s="992" t="s">
        <v>1528</v>
      </c>
      <c r="D517" s="992">
        <v>35</v>
      </c>
    </row>
    <row r="518" spans="2:4">
      <c r="B518" s="992">
        <v>5</v>
      </c>
      <c r="C518" s="992" t="s">
        <v>1529</v>
      </c>
      <c r="D518" s="992">
        <v>19</v>
      </c>
    </row>
    <row r="519" spans="2:4">
      <c r="B519" s="992">
        <v>6</v>
      </c>
      <c r="C519" s="992" t="s">
        <v>1530</v>
      </c>
      <c r="D519" s="992">
        <v>11</v>
      </c>
    </row>
    <row r="520" spans="2:4">
      <c r="B520" s="992">
        <v>7</v>
      </c>
      <c r="C520" s="992" t="s">
        <v>1531</v>
      </c>
      <c r="D520" s="992">
        <v>12</v>
      </c>
    </row>
    <row r="521" spans="2:4">
      <c r="B521" s="992">
        <v>8</v>
      </c>
      <c r="C521" s="992" t="s">
        <v>1532</v>
      </c>
      <c r="D521" s="992">
        <v>15</v>
      </c>
    </row>
    <row r="522" spans="2:4">
      <c r="B522" s="992">
        <v>9</v>
      </c>
      <c r="C522" s="992" t="s">
        <v>1533</v>
      </c>
      <c r="D522" s="992">
        <v>17</v>
      </c>
    </row>
    <row r="555" spans="1:27">
      <c r="B555" s="993" t="s">
        <v>658</v>
      </c>
      <c r="V555" s="1520"/>
      <c r="W555" s="1219"/>
      <c r="X555" s="1219"/>
      <c r="Y555" s="1219"/>
      <c r="Z555" s="1219"/>
      <c r="AA555" s="1219"/>
    </row>
    <row r="556" spans="1:27">
      <c r="B556" s="993" t="s">
        <v>659</v>
      </c>
      <c r="V556" s="1520"/>
      <c r="W556" s="1219"/>
      <c r="X556" s="1219"/>
      <c r="Y556" s="1219"/>
      <c r="Z556" s="1219"/>
      <c r="AA556" s="1219"/>
    </row>
    <row r="557" spans="1:27">
      <c r="B557" s="55" t="s">
        <v>660</v>
      </c>
      <c r="V557" s="1520"/>
      <c r="W557" s="1219"/>
      <c r="X557" s="1219"/>
      <c r="Y557" s="1219"/>
      <c r="Z557" s="1219"/>
      <c r="AA557" s="1219"/>
    </row>
    <row r="558" spans="1:27">
      <c r="A558" s="55" t="s">
        <v>1483</v>
      </c>
      <c r="B558" s="1864" t="s">
        <v>33</v>
      </c>
      <c r="C558" s="1864" t="s">
        <v>67</v>
      </c>
      <c r="D558" s="1567" t="s">
        <v>612</v>
      </c>
      <c r="E558" s="1207"/>
      <c r="F558" s="1207"/>
      <c r="G558" s="1207"/>
      <c r="H558" s="1207"/>
      <c r="I558" s="1207"/>
      <c r="J558" s="1207"/>
      <c r="K558" s="1207"/>
      <c r="L558" s="1566"/>
      <c r="P558" s="1210" t="s">
        <v>69</v>
      </c>
      <c r="Q558" s="1211" t="s">
        <v>70</v>
      </c>
      <c r="R558" s="1210" t="s">
        <v>71</v>
      </c>
      <c r="S558" s="1211" t="s">
        <v>72</v>
      </c>
      <c r="T558" s="1212" t="s">
        <v>641</v>
      </c>
      <c r="U558" s="1213" t="s">
        <v>411</v>
      </c>
      <c r="V558" s="1521" t="s">
        <v>69</v>
      </c>
      <c r="W558" s="1211" t="s">
        <v>70</v>
      </c>
      <c r="X558" s="1210" t="s">
        <v>71</v>
      </c>
      <c r="Y558" s="1211" t="s">
        <v>72</v>
      </c>
      <c r="Z558" s="1212" t="s">
        <v>641</v>
      </c>
      <c r="AA558" s="1213" t="s">
        <v>411</v>
      </c>
    </row>
    <row r="559" spans="1:27">
      <c r="B559" s="1613"/>
      <c r="C559" s="1613"/>
      <c r="D559" s="1204">
        <v>15</v>
      </c>
      <c r="E559" s="1282">
        <v>50</v>
      </c>
      <c r="F559" s="1282">
        <v>100</v>
      </c>
      <c r="G559" s="1282">
        <v>200</v>
      </c>
      <c r="H559" s="1282">
        <v>500</v>
      </c>
      <c r="I559" s="1869">
        <v>1000</v>
      </c>
      <c r="J559" s="1869">
        <v>2000</v>
      </c>
      <c r="K559" s="1869">
        <v>5000</v>
      </c>
      <c r="L559" s="1869">
        <v>8000</v>
      </c>
      <c r="P559" s="1210">
        <f ca="1">IF(U559&lt;=$D$559,$D$559,INDEX($D$338:$L$338,1,MATCH(U559,$D$338:$L$338,1)))</f>
        <v>15</v>
      </c>
      <c r="Q559" s="1211">
        <f ca="1">IF(OR(U559&lt;=$D$559,U559&gt;=$L$559),P559,INDEX($D$559:$L$559,1,MATCH(U559,$D$559:$L$559,1)+1))</f>
        <v>15</v>
      </c>
      <c r="R559" s="1210">
        <f ca="1">INDEX($D$560:$L$564,LCT,MATCH(P559,$D$559:$L$559,1))</f>
        <v>0.19</v>
      </c>
      <c r="S559" s="1211">
        <f ca="1">INDEX($D$560:$L$564,LCT,MATCH(Q559,$D$559:$L$559,1))</f>
        <v>0.19</v>
      </c>
      <c r="T559" s="1212">
        <f ca="1">IF(R559=S559,S559,S559-(S559-R559)/(Q559-P559)*(Q559-U559))</f>
        <v>0.19</v>
      </c>
      <c r="U559" s="1519">
        <f ca="1">D5</f>
        <v>0.34403316717430643</v>
      </c>
      <c r="V559" s="1521">
        <f>IF(AA559&lt;=$D$559,$D$559,INDEX($D$338:$L$338,1,MATCH(AA559,$D$338:$L$338,1)))</f>
        <v>15</v>
      </c>
      <c r="W559" s="1211">
        <f>IF(OR(AA559&lt;=$D$559,AA559&gt;=$L$559),V559,INDEX($D$559:$L$559,1,MATCH(AA559,$D$559:$L$559,1)+1))</f>
        <v>15</v>
      </c>
      <c r="X559" s="1210">
        <f>INDEX($D$560:$L$564,LCT,MATCH(V559,$D$559:$L$559,1))</f>
        <v>0.19</v>
      </c>
      <c r="Y559" s="1211">
        <f>INDEX($D$560:$L$564,LCT,MATCH(W559,$D$559:$L$559,1))</f>
        <v>0.19</v>
      </c>
      <c r="Z559" s="1212">
        <f>IF(X559=Y559,Y559,Y559-(Y559-X559)/(W559-V559)*(W559-AA559))</f>
        <v>0.19</v>
      </c>
      <c r="AA559" s="1213">
        <f>E5</f>
        <v>0</v>
      </c>
    </row>
    <row r="560" spans="1:27">
      <c r="B560" s="1193">
        <v>1</v>
      </c>
      <c r="C560" s="1217" t="s">
        <v>34</v>
      </c>
      <c r="D560" s="992">
        <v>0.16500000000000001</v>
      </c>
      <c r="E560" s="992">
        <v>0.11</v>
      </c>
      <c r="F560" s="992">
        <v>8.5000000000000006E-2</v>
      </c>
      <c r="G560" s="992">
        <v>6.5000000000000002E-2</v>
      </c>
      <c r="H560" s="992">
        <v>0.05</v>
      </c>
      <c r="I560" s="992">
        <v>4.1000000000000002E-2</v>
      </c>
      <c r="J560" s="992">
        <v>2.9000000000000001E-2</v>
      </c>
      <c r="K560" s="992">
        <v>2.1999999999999999E-2</v>
      </c>
      <c r="L560" s="992">
        <v>1.9E-2</v>
      </c>
      <c r="V560" s="1520"/>
      <c r="W560" s="1219"/>
      <c r="X560" s="1219"/>
      <c r="Y560" s="1219"/>
      <c r="Z560" s="1219"/>
      <c r="AA560" s="1219"/>
    </row>
    <row r="561" spans="1:27">
      <c r="B561" s="1193">
        <v>2</v>
      </c>
      <c r="C561" s="1217" t="s">
        <v>35</v>
      </c>
      <c r="D561" s="992">
        <v>0.19</v>
      </c>
      <c r="E561" s="992">
        <v>0.126</v>
      </c>
      <c r="F561" s="992">
        <v>9.7000000000000003E-2</v>
      </c>
      <c r="G561" s="992">
        <v>7.4999999999999997E-2</v>
      </c>
      <c r="H561" s="992">
        <v>5.8000000000000003E-2</v>
      </c>
      <c r="I561" s="992">
        <v>4.3999999999999997E-2</v>
      </c>
      <c r="J561" s="992">
        <v>3.5000000000000003E-2</v>
      </c>
      <c r="K561" s="992">
        <v>2.5999999999999999E-2</v>
      </c>
      <c r="L561" s="992">
        <v>2.1999999999999999E-2</v>
      </c>
      <c r="V561" s="1520"/>
      <c r="W561" s="1219"/>
      <c r="X561" s="1219"/>
      <c r="Y561" s="1219"/>
      <c r="Z561" s="1219"/>
      <c r="AA561" s="1219"/>
    </row>
    <row r="562" spans="1:27">
      <c r="B562" s="1193">
        <v>3</v>
      </c>
      <c r="C562" s="1217" t="s">
        <v>36</v>
      </c>
      <c r="D562" s="992">
        <v>0.109</v>
      </c>
      <c r="E562" s="992">
        <v>7.1999999999999995E-2</v>
      </c>
      <c r="F562" s="992">
        <v>5.5E-2</v>
      </c>
      <c r="G562" s="992">
        <v>4.2999999999999997E-2</v>
      </c>
      <c r="H562" s="992">
        <v>3.3000000000000002E-2</v>
      </c>
      <c r="I562" s="992">
        <v>2.5000000000000001E-2</v>
      </c>
      <c r="J562" s="992">
        <v>2.1000000000000001E-2</v>
      </c>
      <c r="K562" s="992">
        <v>1.6E-2</v>
      </c>
      <c r="L562" s="992">
        <v>1.4E-2</v>
      </c>
      <c r="V562" s="1520"/>
      <c r="W562" s="1219"/>
      <c r="X562" s="1219"/>
      <c r="Y562" s="1219"/>
      <c r="Z562" s="1219"/>
      <c r="AA562" s="1219"/>
    </row>
    <row r="563" spans="1:27">
      <c r="B563" s="1193">
        <v>4</v>
      </c>
      <c r="C563" s="1217" t="s">
        <v>375</v>
      </c>
      <c r="D563" s="992">
        <v>0.121</v>
      </c>
      <c r="E563" s="992">
        <v>0.08</v>
      </c>
      <c r="F563" s="992">
        <v>6.0999999999999999E-2</v>
      </c>
      <c r="G563" s="992">
        <v>4.8000000000000001E-2</v>
      </c>
      <c r="H563" s="992">
        <v>3.6999999999999998E-2</v>
      </c>
      <c r="I563" s="992">
        <v>2.8000000000000001E-2</v>
      </c>
      <c r="J563" s="992">
        <v>2.3E-2</v>
      </c>
      <c r="K563" s="992">
        <v>1.7000000000000001E-2</v>
      </c>
      <c r="L563" s="992">
        <v>1.4E-2</v>
      </c>
      <c r="V563" s="1520"/>
      <c r="W563" s="1219"/>
      <c r="X563" s="1219"/>
      <c r="Y563" s="1219"/>
      <c r="Z563" s="1219"/>
      <c r="AA563" s="1219"/>
    </row>
    <row r="564" spans="1:27">
      <c r="B564" s="1193">
        <v>5</v>
      </c>
      <c r="C564" s="1217" t="s">
        <v>38</v>
      </c>
      <c r="D564" s="992">
        <v>0.126</v>
      </c>
      <c r="E564" s="992">
        <v>8.5000000000000006E-2</v>
      </c>
      <c r="F564" s="992">
        <v>6.5000000000000002E-2</v>
      </c>
      <c r="G564" s="992">
        <v>0.05</v>
      </c>
      <c r="H564" s="992">
        <v>3.9E-2</v>
      </c>
      <c r="I564" s="992">
        <v>0.03</v>
      </c>
      <c r="J564" s="992">
        <v>2.5999999999999999E-2</v>
      </c>
      <c r="K564" s="992">
        <v>1.9E-2</v>
      </c>
      <c r="L564" s="992">
        <v>1.7000000000000001E-2</v>
      </c>
      <c r="V564" s="1520"/>
      <c r="W564" s="1219"/>
      <c r="X564" s="1219"/>
      <c r="Y564" s="1219"/>
      <c r="Z564" s="1219"/>
      <c r="AA564" s="1219"/>
    </row>
    <row r="565" spans="1:27">
      <c r="V565" s="1520"/>
      <c r="W565" s="1219"/>
      <c r="X565" s="1219"/>
      <c r="Y565" s="1219"/>
      <c r="Z565" s="1219"/>
      <c r="AA565" s="1219"/>
    </row>
    <row r="566" spans="1:27">
      <c r="B566" s="55" t="s">
        <v>661</v>
      </c>
      <c r="V566" s="1520"/>
      <c r="W566" s="1219"/>
      <c r="X566" s="1219"/>
      <c r="Y566" s="1219"/>
      <c r="Z566" s="1219"/>
      <c r="AA566" s="1219"/>
    </row>
    <row r="567" spans="1:27">
      <c r="A567" s="55" t="s">
        <v>1483</v>
      </c>
      <c r="B567" s="1864" t="s">
        <v>33</v>
      </c>
      <c r="C567" s="1864" t="s">
        <v>67</v>
      </c>
      <c r="D567" s="1567" t="s">
        <v>612</v>
      </c>
      <c r="E567" s="1564"/>
      <c r="F567" s="1564"/>
      <c r="G567" s="1564"/>
      <c r="H567" s="1564"/>
      <c r="I567" s="1564"/>
      <c r="J567" s="1564"/>
      <c r="K567" s="1564"/>
      <c r="L567" s="1568"/>
      <c r="P567" s="1210" t="s">
        <v>69</v>
      </c>
      <c r="Q567" s="1211" t="s">
        <v>70</v>
      </c>
      <c r="R567" s="1210" t="s">
        <v>71</v>
      </c>
      <c r="S567" s="1211" t="s">
        <v>72</v>
      </c>
      <c r="T567" s="1212" t="s">
        <v>641</v>
      </c>
      <c r="U567" s="1213" t="s">
        <v>411</v>
      </c>
      <c r="V567" s="1521" t="s">
        <v>69</v>
      </c>
      <c r="W567" s="1211" t="s">
        <v>70</v>
      </c>
      <c r="X567" s="1210" t="s">
        <v>71</v>
      </c>
      <c r="Y567" s="1211" t="s">
        <v>72</v>
      </c>
      <c r="Z567" s="1212" t="s">
        <v>641</v>
      </c>
      <c r="AA567" s="1213" t="s">
        <v>411</v>
      </c>
    </row>
    <row r="568" spans="1:27">
      <c r="B568" s="1613"/>
      <c r="C568" s="1613"/>
      <c r="D568" s="1204">
        <v>15</v>
      </c>
      <c r="E568" s="1282">
        <v>50</v>
      </c>
      <c r="F568" s="1282">
        <v>100</v>
      </c>
      <c r="G568" s="1282">
        <v>200</v>
      </c>
      <c r="H568" s="1282">
        <v>500</v>
      </c>
      <c r="I568" s="1869">
        <v>1000</v>
      </c>
      <c r="J568" s="1869">
        <v>2000</v>
      </c>
      <c r="K568" s="1869">
        <v>5000</v>
      </c>
      <c r="L568" s="1869">
        <v>8000</v>
      </c>
      <c r="P568" s="1210">
        <f ca="1">IF(U568&lt;=$D$568,$D$568,INDEX($D$568:$L$568,1,MATCH(U568,$D$568:$L$568,1)))</f>
        <v>15</v>
      </c>
      <c r="Q568" s="1211">
        <f ca="1">IF(OR(U568&lt;=$D$568,U568&gt;=$L$568),P568,INDEX($D$568:$L$568,1,MATCH(U568,$D$568:$L$568,1)+1))</f>
        <v>15</v>
      </c>
      <c r="R568" s="1210">
        <f ca="1">INDEX($D$569:$L$573,LCT,MATCH(P568,$D$568:$L$568,1))</f>
        <v>0.185</v>
      </c>
      <c r="S568" s="1211">
        <f ca="1">INDEX($D$569:$L$573,LCT,MATCH(Q568,$D$568:$L$568,1))</f>
        <v>0.185</v>
      </c>
      <c r="T568" s="1212">
        <f ca="1">IF(R568=S568,S568,S568-(S568-R568)/(Q568-P568)*(Q568-U568))</f>
        <v>0.185</v>
      </c>
      <c r="U568" s="1519">
        <f ca="1">D5</f>
        <v>0.34403316717430643</v>
      </c>
      <c r="V568" s="1521">
        <f>IF(AA568&lt;=$D$568,$D$568,INDEX($D$568:$L$568,1,MATCH(AA568,$D$568:$L$568,1)))</f>
        <v>15</v>
      </c>
      <c r="W568" s="1211">
        <f>IF(OR(AA568&lt;=$D$568,AA568&gt;=$L$568),V568,INDEX($D$568:$L$568,1,MATCH(AA568,$D$568:$L$568,1)+1))</f>
        <v>15</v>
      </c>
      <c r="X568" s="1210">
        <f>INDEX($D$569:$L$573,LCT,MATCH(V568,$D$568:$L$568,1))</f>
        <v>0.185</v>
      </c>
      <c r="Y568" s="1211">
        <f>INDEX($D$569:$L$573,LCT,MATCH(W568,$D$568:$L$568,1))</f>
        <v>0.185</v>
      </c>
      <c r="Z568" s="1212">
        <f>IF(X568=Y568,Y568,Y568-(Y568-X568)/(W568-V568)*(W568-AA568))</f>
        <v>0.185</v>
      </c>
      <c r="AA568" s="1213">
        <f>E5</f>
        <v>0</v>
      </c>
    </row>
    <row r="569" spans="1:27">
      <c r="B569" s="1193">
        <v>1</v>
      </c>
      <c r="C569" s="1217" t="s">
        <v>34</v>
      </c>
      <c r="D569" s="992">
        <v>0.16</v>
      </c>
      <c r="E569" s="992">
        <v>0.106</v>
      </c>
      <c r="F569" s="992">
        <v>8.3000000000000004E-2</v>
      </c>
      <c r="G569" s="992">
        <v>6.2E-2</v>
      </c>
      <c r="H569" s="992">
        <v>4.5999999999999999E-2</v>
      </c>
      <c r="I569" s="992">
        <v>3.7999999999999999E-2</v>
      </c>
      <c r="J569" s="992">
        <v>2.8000000000000001E-2</v>
      </c>
      <c r="K569" s="992">
        <v>2.1000000000000001E-2</v>
      </c>
      <c r="L569" s="992">
        <v>1.7999999999999999E-2</v>
      </c>
      <c r="V569" s="1520"/>
      <c r="W569" s="1219"/>
      <c r="X569" s="1219"/>
      <c r="Y569" s="1219"/>
      <c r="Z569" s="1219"/>
      <c r="AA569" s="1219"/>
    </row>
    <row r="570" spans="1:27">
      <c r="B570" s="1193">
        <v>2</v>
      </c>
      <c r="C570" s="1217" t="s">
        <v>35</v>
      </c>
      <c r="D570" s="992">
        <v>0.185</v>
      </c>
      <c r="E570" s="992">
        <v>0.121</v>
      </c>
      <c r="F570" s="992">
        <v>9.4E-2</v>
      </c>
      <c r="G570" s="992">
        <v>7.1999999999999995E-2</v>
      </c>
      <c r="H570" s="992">
        <v>5.5E-2</v>
      </c>
      <c r="I570" s="992">
        <v>4.1000000000000002E-2</v>
      </c>
      <c r="J570" s="992">
        <v>3.3000000000000002E-2</v>
      </c>
      <c r="K570" s="992">
        <v>2.3E-2</v>
      </c>
      <c r="L570" s="992">
        <v>0.02</v>
      </c>
      <c r="V570" s="1520"/>
      <c r="W570" s="1219"/>
      <c r="X570" s="1219"/>
      <c r="Y570" s="1219"/>
      <c r="Z570" s="1219"/>
      <c r="AA570" s="1219"/>
    </row>
    <row r="571" spans="1:27">
      <c r="B571" s="1193">
        <v>3</v>
      </c>
      <c r="C571" s="1217" t="s">
        <v>36</v>
      </c>
      <c r="D571" s="992">
        <v>0.106</v>
      </c>
      <c r="E571" s="992">
        <v>6.8000000000000005E-2</v>
      </c>
      <c r="F571" s="992">
        <v>5.3999999999999999E-2</v>
      </c>
      <c r="G571" s="992">
        <v>4.1000000000000002E-2</v>
      </c>
      <c r="H571" s="992">
        <v>3.1E-2</v>
      </c>
      <c r="I571" s="992">
        <v>2.4E-2</v>
      </c>
      <c r="J571" s="992">
        <v>0.02</v>
      </c>
      <c r="K571" s="992">
        <v>1.4E-2</v>
      </c>
      <c r="L571" s="992">
        <v>1.2E-2</v>
      </c>
      <c r="V571" s="1520"/>
      <c r="W571" s="1219"/>
      <c r="X571" s="1219"/>
      <c r="Y571" s="1219"/>
      <c r="Z571" s="1219"/>
      <c r="AA571" s="1219"/>
    </row>
    <row r="572" spans="1:27">
      <c r="B572" s="1193">
        <v>4</v>
      </c>
      <c r="C572" s="1217" t="s">
        <v>375</v>
      </c>
      <c r="D572" s="992">
        <v>0.11700000000000001</v>
      </c>
      <c r="E572" s="992">
        <v>7.5999999999999998E-2</v>
      </c>
      <c r="F572" s="992">
        <v>0.06</v>
      </c>
      <c r="G572" s="992">
        <v>4.5999999999999999E-2</v>
      </c>
      <c r="H572" s="992">
        <v>3.5000000000000003E-2</v>
      </c>
      <c r="I572" s="992">
        <v>2.5999999999999999E-2</v>
      </c>
      <c r="J572" s="992">
        <v>2.1999999999999999E-2</v>
      </c>
      <c r="K572" s="992">
        <v>1.6E-2</v>
      </c>
      <c r="L572" s="992">
        <v>1.4E-2</v>
      </c>
      <c r="V572" s="1520"/>
      <c r="W572" s="1219"/>
      <c r="X572" s="1219"/>
      <c r="Y572" s="1219"/>
      <c r="Z572" s="1219"/>
      <c r="AA572" s="1219"/>
    </row>
    <row r="573" spans="1:27">
      <c r="B573" s="1193">
        <v>5</v>
      </c>
      <c r="C573" s="1217" t="s">
        <v>38</v>
      </c>
      <c r="D573" s="992">
        <v>0.122</v>
      </c>
      <c r="E573" s="992">
        <v>8.2000000000000003E-2</v>
      </c>
      <c r="F573" s="992">
        <v>6.2E-2</v>
      </c>
      <c r="G573" s="992">
        <v>4.7E-2</v>
      </c>
      <c r="H573" s="992">
        <v>3.6999999999999998E-2</v>
      </c>
      <c r="I573" s="992">
        <v>2.9000000000000001E-2</v>
      </c>
      <c r="J573" s="992">
        <v>2.4E-2</v>
      </c>
      <c r="K573" s="992">
        <v>1.7000000000000001E-2</v>
      </c>
      <c r="L573" s="992">
        <v>1.4E-2</v>
      </c>
      <c r="V573" s="1520"/>
      <c r="W573" s="1219"/>
      <c r="X573" s="1219"/>
      <c r="Y573" s="1219"/>
      <c r="Z573" s="1219"/>
      <c r="AA573" s="1219"/>
    </row>
    <row r="574" spans="1:27">
      <c r="V574" s="1520"/>
      <c r="W574" s="1219"/>
      <c r="X574" s="1219"/>
      <c r="Y574" s="1219"/>
      <c r="Z574" s="1219"/>
      <c r="AA574" s="1219"/>
    </row>
    <row r="575" spans="1:27">
      <c r="V575" s="1520"/>
      <c r="W575" s="1219"/>
      <c r="X575" s="1219"/>
      <c r="Y575" s="1219"/>
      <c r="Z575" s="1219"/>
      <c r="AA575" s="1219"/>
    </row>
    <row r="576" spans="1:27">
      <c r="B576" s="993" t="s">
        <v>662</v>
      </c>
      <c r="V576" s="1520"/>
      <c r="W576" s="1219"/>
      <c r="X576" s="1219"/>
      <c r="Y576" s="1219"/>
      <c r="Z576" s="1219"/>
      <c r="AA576" s="1219"/>
    </row>
    <row r="577" spans="1:27">
      <c r="B577" s="55" t="s">
        <v>660</v>
      </c>
      <c r="V577" s="1520"/>
      <c r="W577" s="1219"/>
      <c r="X577" s="1219"/>
      <c r="Y577" s="1219"/>
      <c r="Z577" s="1219"/>
      <c r="AA577" s="1219"/>
    </row>
    <row r="578" spans="1:27">
      <c r="A578" s="55" t="s">
        <v>1483</v>
      </c>
      <c r="B578" s="1864" t="s">
        <v>33</v>
      </c>
      <c r="C578" s="1864" t="s">
        <v>67</v>
      </c>
      <c r="D578" s="1567" t="s">
        <v>612</v>
      </c>
      <c r="E578" s="1564"/>
      <c r="F578" s="1564"/>
      <c r="G578" s="1564"/>
      <c r="H578" s="1564"/>
      <c r="I578" s="1564"/>
      <c r="J578" s="1564"/>
      <c r="K578" s="1564"/>
      <c r="L578" s="1568"/>
      <c r="P578" s="1210" t="s">
        <v>69</v>
      </c>
      <c r="Q578" s="1211" t="s">
        <v>70</v>
      </c>
      <c r="R578" s="1210" t="s">
        <v>71</v>
      </c>
      <c r="S578" s="1211" t="s">
        <v>72</v>
      </c>
      <c r="T578" s="1212" t="s">
        <v>641</v>
      </c>
      <c r="U578" s="1213" t="s">
        <v>411</v>
      </c>
      <c r="V578" s="1521" t="s">
        <v>69</v>
      </c>
      <c r="W578" s="1211" t="s">
        <v>70</v>
      </c>
      <c r="X578" s="1210" t="s">
        <v>71</v>
      </c>
      <c r="Y578" s="1211" t="s">
        <v>72</v>
      </c>
      <c r="Z578" s="1212" t="s">
        <v>641</v>
      </c>
      <c r="AA578" s="1213" t="s">
        <v>411</v>
      </c>
    </row>
    <row r="579" spans="1:27">
      <c r="B579" s="1613"/>
      <c r="C579" s="1613"/>
      <c r="D579" s="1204">
        <v>15</v>
      </c>
      <c r="E579" s="1282">
        <v>50</v>
      </c>
      <c r="F579" s="1282">
        <v>100</v>
      </c>
      <c r="G579" s="1282">
        <v>200</v>
      </c>
      <c r="H579" s="1282">
        <v>500</v>
      </c>
      <c r="I579" s="1869">
        <v>1000</v>
      </c>
      <c r="J579" s="1869">
        <v>2000</v>
      </c>
      <c r="K579" s="1869">
        <v>5000</v>
      </c>
      <c r="L579" s="1869">
        <v>8000</v>
      </c>
      <c r="P579" s="1210">
        <f ca="1">IF(U579&lt;=$D$579,$D$579,INDEX($D$579:$L$579,1,MATCH(U579,$D$579:$L$579,1)))</f>
        <v>15</v>
      </c>
      <c r="Q579" s="1211">
        <f ca="1">IF(OR(U579&lt;=$D$579,U579&gt;=$L$579),P579,INDEX($D$579:$L$579,1,MATCH(U579,$D$579:$L$579,1)+1))</f>
        <v>15</v>
      </c>
      <c r="R579" s="1210">
        <f ca="1">INDEX($D$580:$L$584,LCT,MATCH(P579,$D$579:$L$579,1))</f>
        <v>5.7000000000000002E-2</v>
      </c>
      <c r="S579" s="1211">
        <f ca="1">INDEX($D$580:$L$584,LCT,MATCH(Q579,$D$579:$L$579,1))</f>
        <v>5.7000000000000002E-2</v>
      </c>
      <c r="T579" s="1212">
        <f ca="1">IF(R579=S579,S579,S579-(S579-R579)/(Q579-P579)*(Q579-U579))</f>
        <v>5.7000000000000002E-2</v>
      </c>
      <c r="U579" s="1519">
        <f ca="1">D5</f>
        <v>0.34403316717430643</v>
      </c>
      <c r="V579" s="1521">
        <f>IF(AA579&lt;=$D$579,$D$579,INDEX($D$579:$L$579,1,MATCH(AA579,$D$579:$L$579,1)))</f>
        <v>15</v>
      </c>
      <c r="W579" s="1211">
        <f>IF(OR(AA579&lt;=$D$579,AA579&gt;=$L$579),V579,INDEX($D$579:$L$579,1,MATCH(AA579,$D$579:$L$579,1)+1))</f>
        <v>15</v>
      </c>
      <c r="X579" s="1210">
        <f>INDEX($D$580:$L$584,LCT,MATCH(V579,$D$579:$L$579,1))</f>
        <v>5.7000000000000002E-2</v>
      </c>
      <c r="Y579" s="1211">
        <f>INDEX($D$580:$L$584,LCT,MATCH(W579,$D$579:$L$579,1))</f>
        <v>5.7000000000000002E-2</v>
      </c>
      <c r="Z579" s="1212">
        <f>IF(X579=Y579,Y579,Y579-(Y579-X579)/(W579-V579)*(W579-AA579))</f>
        <v>5.7000000000000002E-2</v>
      </c>
      <c r="AA579" s="1213">
        <f>E5</f>
        <v>0</v>
      </c>
    </row>
    <row r="580" spans="1:27">
      <c r="B580" s="1193">
        <v>1</v>
      </c>
      <c r="C580" s="1217" t="s">
        <v>34</v>
      </c>
      <c r="D580" s="1258">
        <v>4.9500000000000002E-2</v>
      </c>
      <c r="E580" s="1258">
        <v>3.3000000000000002E-2</v>
      </c>
      <c r="F580" s="1258">
        <v>2.5499999999999998E-2</v>
      </c>
      <c r="G580" s="1258">
        <v>1.95E-2</v>
      </c>
      <c r="H580" s="1258">
        <v>1.4999999999999999E-2</v>
      </c>
      <c r="I580" s="1258">
        <v>1.23E-2</v>
      </c>
      <c r="J580" s="1258">
        <v>8.6999999999999994E-3</v>
      </c>
      <c r="K580" s="1258">
        <v>6.6E-3</v>
      </c>
      <c r="L580" s="1258">
        <v>5.7000000000000002E-3</v>
      </c>
      <c r="V580" s="1520"/>
      <c r="W580" s="1219"/>
      <c r="X580" s="1219"/>
      <c r="Y580" s="1219"/>
      <c r="Z580" s="1219"/>
      <c r="AA580" s="1219"/>
    </row>
    <row r="581" spans="1:27">
      <c r="B581" s="1193">
        <v>2</v>
      </c>
      <c r="C581" s="1217" t="s">
        <v>35</v>
      </c>
      <c r="D581" s="1258">
        <v>5.7000000000000002E-2</v>
      </c>
      <c r="E581" s="1258">
        <v>3.78E-2</v>
      </c>
      <c r="F581" s="1258">
        <v>2.9100000000000001E-2</v>
      </c>
      <c r="G581" s="1258">
        <v>2.2499999999999999E-2</v>
      </c>
      <c r="H581" s="1258">
        <v>1.7399999999999999E-2</v>
      </c>
      <c r="I581" s="1258">
        <v>1.32E-2</v>
      </c>
      <c r="J581" s="1258">
        <v>1.0500000000000001E-2</v>
      </c>
      <c r="K581" s="1258">
        <v>7.7999999999999996E-3</v>
      </c>
      <c r="L581" s="1258">
        <v>6.6E-3</v>
      </c>
      <c r="V581" s="1520"/>
      <c r="W581" s="1219"/>
      <c r="X581" s="1219"/>
      <c r="Y581" s="1219"/>
      <c r="Z581" s="1219"/>
      <c r="AA581" s="1219"/>
    </row>
    <row r="582" spans="1:27">
      <c r="B582" s="1193">
        <v>3</v>
      </c>
      <c r="C582" s="1217" t="s">
        <v>36</v>
      </c>
      <c r="D582" s="1258">
        <v>3.27E-2</v>
      </c>
      <c r="E582" s="1258">
        <v>2.1600000000000001E-2</v>
      </c>
      <c r="F582" s="1258">
        <v>1.6500000000000001E-2</v>
      </c>
      <c r="G582" s="1258">
        <v>1.29E-2</v>
      </c>
      <c r="H582" s="1258">
        <v>9.9000000000000008E-3</v>
      </c>
      <c r="I582" s="1258">
        <v>7.4999999999999997E-3</v>
      </c>
      <c r="J582" s="1258">
        <v>6.3E-3</v>
      </c>
      <c r="K582" s="1258">
        <v>4.7999999999999996E-3</v>
      </c>
      <c r="L582" s="1258">
        <v>4.1999999999999997E-3</v>
      </c>
      <c r="V582" s="1520"/>
      <c r="W582" s="1219"/>
      <c r="X582" s="1219"/>
      <c r="Y582" s="1219"/>
      <c r="Z582" s="1219"/>
      <c r="AA582" s="1219"/>
    </row>
    <row r="583" spans="1:27">
      <c r="B583" s="1193">
        <v>4</v>
      </c>
      <c r="C583" s="1217" t="s">
        <v>375</v>
      </c>
      <c r="D583" s="1258">
        <v>3.6299999999999999E-2</v>
      </c>
      <c r="E583" s="1258">
        <v>2.4E-2</v>
      </c>
      <c r="F583" s="1258">
        <v>1.83E-2</v>
      </c>
      <c r="G583" s="1258">
        <v>1.44E-2</v>
      </c>
      <c r="H583" s="1258">
        <v>1.11E-2</v>
      </c>
      <c r="I583" s="1258">
        <v>8.3999999999999995E-3</v>
      </c>
      <c r="J583" s="1258">
        <v>6.8999999999999999E-3</v>
      </c>
      <c r="K583" s="1258">
        <v>5.1000000000000004E-3</v>
      </c>
      <c r="L583" s="1258">
        <v>4.1999999999999997E-3</v>
      </c>
      <c r="V583" s="1520"/>
      <c r="W583" s="1219"/>
      <c r="X583" s="1219"/>
      <c r="Y583" s="1219"/>
      <c r="Z583" s="1219"/>
      <c r="AA583" s="1219"/>
    </row>
    <row r="584" spans="1:27">
      <c r="B584" s="1193">
        <v>5</v>
      </c>
      <c r="C584" s="1217" t="s">
        <v>38</v>
      </c>
      <c r="D584" s="1258">
        <v>3.78E-2</v>
      </c>
      <c r="E584" s="1258">
        <v>2.5499999999999998E-2</v>
      </c>
      <c r="F584" s="1258">
        <v>1.95E-2</v>
      </c>
      <c r="G584" s="1258">
        <v>1.4999999999999999E-2</v>
      </c>
      <c r="H584" s="1258">
        <v>1.17E-2</v>
      </c>
      <c r="I584" s="1258">
        <v>8.9999999999999993E-3</v>
      </c>
      <c r="J584" s="1258">
        <v>7.8E-2</v>
      </c>
      <c r="K584" s="1258">
        <v>5.7000000000000002E-3</v>
      </c>
      <c r="L584" s="1258">
        <v>5.1000000000000004E-3</v>
      </c>
      <c r="V584" s="1520"/>
      <c r="W584" s="1219"/>
      <c r="X584" s="1219"/>
      <c r="Y584" s="1219"/>
      <c r="Z584" s="1219"/>
      <c r="AA584" s="1219"/>
    </row>
    <row r="585" spans="1:27">
      <c r="B585" s="1219"/>
      <c r="V585" s="1520"/>
      <c r="W585" s="1219"/>
      <c r="X585" s="1219"/>
      <c r="Y585" s="1219"/>
      <c r="Z585" s="1219"/>
      <c r="AA585" s="1219"/>
    </row>
    <row r="586" spans="1:27">
      <c r="B586" s="55" t="s">
        <v>661</v>
      </c>
      <c r="V586" s="1520"/>
      <c r="W586" s="1219"/>
      <c r="X586" s="1219"/>
      <c r="Y586" s="1219"/>
      <c r="Z586" s="1219"/>
      <c r="AA586" s="1219"/>
    </row>
    <row r="587" spans="1:27">
      <c r="A587" s="55" t="s">
        <v>1483</v>
      </c>
      <c r="B587" s="1864" t="s">
        <v>33</v>
      </c>
      <c r="C587" s="1864" t="s">
        <v>67</v>
      </c>
      <c r="D587" s="1567" t="s">
        <v>612</v>
      </c>
      <c r="E587" s="1564"/>
      <c r="F587" s="1564"/>
      <c r="G587" s="1564"/>
      <c r="H587" s="1564"/>
      <c r="I587" s="1564"/>
      <c r="J587" s="1564"/>
      <c r="K587" s="1564"/>
      <c r="L587" s="1568"/>
      <c r="P587" s="1210" t="s">
        <v>69</v>
      </c>
      <c r="Q587" s="1211" t="s">
        <v>70</v>
      </c>
      <c r="R587" s="1210" t="s">
        <v>71</v>
      </c>
      <c r="S587" s="1211" t="s">
        <v>72</v>
      </c>
      <c r="T587" s="1212" t="s">
        <v>641</v>
      </c>
      <c r="U587" s="1213" t="s">
        <v>411</v>
      </c>
      <c r="V587" s="1521" t="s">
        <v>69</v>
      </c>
      <c r="W587" s="1211" t="s">
        <v>70</v>
      </c>
      <c r="X587" s="1210" t="s">
        <v>71</v>
      </c>
      <c r="Y587" s="1211" t="s">
        <v>72</v>
      </c>
      <c r="Z587" s="1212" t="s">
        <v>641</v>
      </c>
      <c r="AA587" s="1213" t="s">
        <v>411</v>
      </c>
    </row>
    <row r="588" spans="1:27">
      <c r="B588" s="1613"/>
      <c r="C588" s="1613"/>
      <c r="D588" s="1204">
        <v>15</v>
      </c>
      <c r="E588" s="1282">
        <v>50</v>
      </c>
      <c r="F588" s="1282">
        <v>100</v>
      </c>
      <c r="G588" s="1282">
        <v>200</v>
      </c>
      <c r="H588" s="1282">
        <v>500</v>
      </c>
      <c r="I588" s="1869">
        <v>1000</v>
      </c>
      <c r="J588" s="1869">
        <v>2000</v>
      </c>
      <c r="K588" s="1869">
        <v>5000</v>
      </c>
      <c r="L588" s="1869">
        <v>8000</v>
      </c>
      <c r="P588" s="1210">
        <f ca="1">IF(U588&lt;=$D$588,$D$588,INDEX($D$588:$L$588,1,MATCH(U588,$D$588:$L$588,1)))</f>
        <v>15</v>
      </c>
      <c r="Q588" s="1211">
        <f ca="1">IF(OR(U588&lt;=$D$588,U588&gt;=$L$588),P588,INDEX($D$588:$L$588,1,MATCH(U588,$D$588:$L$588,1)+1))</f>
        <v>15</v>
      </c>
      <c r="R588" s="1210">
        <f ca="1">INDEX($D$589:$L$593,LCT,MATCH(P588,$D$588:$L$588,1))</f>
        <v>5.5500000000000001E-2</v>
      </c>
      <c r="S588" s="1211">
        <f ca="1">INDEX($D$589:$L$593,LCT,MATCH(Q588,$D$588:$L$588,1))</f>
        <v>5.5500000000000001E-2</v>
      </c>
      <c r="T588" s="1212">
        <f ca="1">IF(R588=S588,S588,S588-(S588-R588)/(Q588-P588)*(Q588-U588))</f>
        <v>5.5500000000000001E-2</v>
      </c>
      <c r="U588" s="1519">
        <f ca="1">D5</f>
        <v>0.34403316717430643</v>
      </c>
      <c r="V588" s="1521">
        <f>IF(AA588&lt;=$D$588,$D$588,INDEX($D$588:$L$588,1,MATCH(AA588,$D$588:$L$588,1)))</f>
        <v>15</v>
      </c>
      <c r="W588" s="1211">
        <f>IF(OR(AA588&lt;=$D$588,AA588&gt;=$L$588),V588,INDEX($D$588:$L$588,1,MATCH(AA588,$D$588:$L$588,1)+1))</f>
        <v>15</v>
      </c>
      <c r="X588" s="1210">
        <f>INDEX($D$589:$L$593,LCT,MATCH(V588,$D$588:$L$588,1))</f>
        <v>5.5500000000000001E-2</v>
      </c>
      <c r="Y588" s="1211">
        <f>INDEX($D$589:$L$593,LCT,MATCH(W588,$D$588:$L$588,1))</f>
        <v>5.5500000000000001E-2</v>
      </c>
      <c r="Z588" s="1212">
        <f>IF(X588=Y588,Y588,Y588-(Y588-X588)/(W588-V588)*(W588-AA588))</f>
        <v>5.5500000000000001E-2</v>
      </c>
      <c r="AA588" s="1213">
        <f>E5</f>
        <v>0</v>
      </c>
    </row>
    <row r="589" spans="1:27">
      <c r="B589" s="1193">
        <v>1</v>
      </c>
      <c r="C589" s="1217" t="s">
        <v>34</v>
      </c>
      <c r="D589" s="992">
        <v>4.8000000000000001E-2</v>
      </c>
      <c r="E589" s="992">
        <v>3.1800000000000002E-2</v>
      </c>
      <c r="F589" s="992">
        <v>2.4899999999999999E-2</v>
      </c>
      <c r="G589" s="992">
        <v>1.8599999999999998E-2</v>
      </c>
      <c r="H589" s="992">
        <v>1.38E-2</v>
      </c>
      <c r="I589" s="992">
        <v>1.14E-2</v>
      </c>
      <c r="J589" s="992">
        <v>8.3999999999999995E-3</v>
      </c>
      <c r="K589" s="992">
        <v>6.3E-3</v>
      </c>
      <c r="L589" s="992">
        <v>5.4000000000000003E-3</v>
      </c>
      <c r="V589" s="1520"/>
      <c r="W589" s="1219"/>
      <c r="X589" s="1219"/>
      <c r="Y589" s="1219"/>
      <c r="Z589" s="1219"/>
      <c r="AA589" s="1219"/>
    </row>
    <row r="590" spans="1:27">
      <c r="B590" s="1193">
        <v>2</v>
      </c>
      <c r="C590" s="1217" t="s">
        <v>35</v>
      </c>
      <c r="D590" s="992">
        <v>5.5500000000000001E-2</v>
      </c>
      <c r="E590" s="992">
        <v>3.6299999999999999E-2</v>
      </c>
      <c r="F590" s="992">
        <v>2.8199999999999999E-2</v>
      </c>
      <c r="G590" s="992">
        <v>2.1600000000000001E-2</v>
      </c>
      <c r="H590" s="992">
        <v>1.6500000000000001E-2</v>
      </c>
      <c r="I590" s="992">
        <v>1.23E-2</v>
      </c>
      <c r="J590" s="992">
        <v>9.9000000000000008E-3</v>
      </c>
      <c r="K590" s="992">
        <v>6.8999999999999999E-3</v>
      </c>
      <c r="L590" s="992">
        <v>6.0000000000000001E-3</v>
      </c>
      <c r="V590" s="1520"/>
      <c r="W590" s="1219"/>
      <c r="X590" s="1219"/>
      <c r="Y590" s="1219"/>
      <c r="Z590" s="1219"/>
      <c r="AA590" s="1219"/>
    </row>
    <row r="591" spans="1:27">
      <c r="B591" s="1193">
        <v>3</v>
      </c>
      <c r="C591" s="1217" t="s">
        <v>36</v>
      </c>
      <c r="D591" s="992">
        <v>3.1800000000000002E-2</v>
      </c>
      <c r="E591" s="992">
        <v>2.0400000000000001E-2</v>
      </c>
      <c r="F591" s="992">
        <v>1.6199999999999999E-2</v>
      </c>
      <c r="G591" s="992">
        <v>1.23E-2</v>
      </c>
      <c r="H591" s="992">
        <v>9.2999999999999992E-3</v>
      </c>
      <c r="I591" s="992">
        <v>7.1999999999999998E-3</v>
      </c>
      <c r="J591" s="992">
        <v>6.0000000000000001E-3</v>
      </c>
      <c r="K591" s="992">
        <v>4.1999999999999997E-3</v>
      </c>
      <c r="L591" s="992">
        <v>3.5999999999999999E-3</v>
      </c>
      <c r="V591" s="1520"/>
      <c r="W591" s="1219"/>
      <c r="X591" s="1219"/>
      <c r="Y591" s="1219"/>
      <c r="Z591" s="1219"/>
      <c r="AA591" s="1219"/>
    </row>
    <row r="592" spans="1:27">
      <c r="B592" s="1193">
        <v>4</v>
      </c>
      <c r="C592" s="1217" t="s">
        <v>375</v>
      </c>
      <c r="D592" s="992">
        <v>3.5099999999999999E-2</v>
      </c>
      <c r="E592" s="992">
        <v>2.2800000000000001E-2</v>
      </c>
      <c r="F592" s="992">
        <v>1.7999999999999999E-2</v>
      </c>
      <c r="G592" s="992">
        <v>1.38E-2</v>
      </c>
      <c r="H592" s="992">
        <v>1.0500000000000001E-2</v>
      </c>
      <c r="I592" s="992">
        <v>7.7999999999999996E-3</v>
      </c>
      <c r="J592" s="992">
        <v>6.6E-3</v>
      </c>
      <c r="K592" s="992">
        <v>4.7999999999999996E-3</v>
      </c>
      <c r="L592" s="992">
        <v>4.1999999999999997E-3</v>
      </c>
      <c r="V592" s="1520"/>
      <c r="W592" s="1219"/>
      <c r="X592" s="1219"/>
      <c r="Y592" s="1219"/>
      <c r="Z592" s="1219"/>
      <c r="AA592" s="1219"/>
    </row>
    <row r="593" spans="1:27">
      <c r="B593" s="1193">
        <v>5</v>
      </c>
      <c r="C593" s="1217" t="s">
        <v>38</v>
      </c>
      <c r="D593" s="992">
        <v>3.6600000000000001E-2</v>
      </c>
      <c r="E593" s="992">
        <v>2.46E-2</v>
      </c>
      <c r="F593" s="992">
        <v>1.8599999999999998E-2</v>
      </c>
      <c r="G593" s="992">
        <v>1.41E-2</v>
      </c>
      <c r="H593" s="992">
        <v>1.11E-2</v>
      </c>
      <c r="I593" s="992">
        <v>8.6999999999999994E-3</v>
      </c>
      <c r="J593" s="992">
        <v>7.1999999999999998E-3</v>
      </c>
      <c r="K593" s="992">
        <v>5.1000000000000004E-3</v>
      </c>
      <c r="L593" s="992">
        <v>4.1999999999999997E-3</v>
      </c>
      <c r="V593" s="1520"/>
      <c r="W593" s="1219"/>
      <c r="X593" s="1219"/>
      <c r="Y593" s="1219"/>
      <c r="Z593" s="1219"/>
      <c r="AA593" s="1219"/>
    </row>
    <row r="594" spans="1:27">
      <c r="V594" s="1520"/>
      <c r="W594" s="1219"/>
      <c r="X594" s="1219"/>
      <c r="Y594" s="1219"/>
      <c r="Z594" s="1219"/>
      <c r="AA594" s="1219"/>
    </row>
    <row r="595" spans="1:27">
      <c r="B595" s="993" t="s">
        <v>269</v>
      </c>
      <c r="V595" s="1520"/>
      <c r="W595" s="1219"/>
      <c r="X595" s="1219"/>
      <c r="Y595" s="1219"/>
      <c r="Z595" s="1219"/>
      <c r="AA595" s="1219"/>
    </row>
    <row r="596" spans="1:27">
      <c r="B596" s="55" t="s">
        <v>632</v>
      </c>
      <c r="P596" s="1210" t="s">
        <v>69</v>
      </c>
      <c r="Q596" s="1211" t="s">
        <v>70</v>
      </c>
      <c r="R596" s="1210" t="s">
        <v>71</v>
      </c>
      <c r="S596" s="1211" t="s">
        <v>72</v>
      </c>
      <c r="T596" s="1212" t="s">
        <v>641</v>
      </c>
      <c r="U596" s="1213" t="s">
        <v>411</v>
      </c>
      <c r="V596" s="1521" t="s">
        <v>69</v>
      </c>
      <c r="W596" s="1211" t="s">
        <v>70</v>
      </c>
      <c r="X596" s="1210" t="s">
        <v>71</v>
      </c>
      <c r="Y596" s="1211" t="s">
        <v>72</v>
      </c>
      <c r="Z596" s="1212" t="s">
        <v>641</v>
      </c>
      <c r="AA596" s="1213" t="s">
        <v>411</v>
      </c>
    </row>
    <row r="597" spans="1:27">
      <c r="P597" s="1210"/>
      <c r="Q597" s="1211"/>
      <c r="R597" s="1210"/>
      <c r="S597" s="1211"/>
      <c r="T597" s="1212"/>
      <c r="U597" s="1213"/>
      <c r="V597" s="1521"/>
      <c r="W597" s="1211"/>
      <c r="X597" s="1210"/>
      <c r="Y597" s="1211"/>
      <c r="Z597" s="1212"/>
      <c r="AA597" s="1213"/>
    </row>
    <row r="598" spans="1:27">
      <c r="A598" s="55" t="s">
        <v>1482</v>
      </c>
      <c r="B598" s="1864" t="s">
        <v>33</v>
      </c>
      <c r="C598" s="1552"/>
      <c r="D598" s="1554" t="s">
        <v>1490</v>
      </c>
      <c r="E598" s="1554"/>
      <c r="F598" s="1554"/>
      <c r="G598" s="1554"/>
      <c r="H598" s="1554"/>
      <c r="I598" s="1554"/>
      <c r="J598" s="1554"/>
      <c r="K598" s="1554"/>
      <c r="L598" s="1554"/>
      <c r="M598" s="1554"/>
      <c r="P598" s="1210"/>
      <c r="Q598" s="1211"/>
      <c r="R598" s="1210"/>
      <c r="S598" s="1211"/>
      <c r="T598" s="1212"/>
      <c r="U598" s="1213"/>
      <c r="V598" s="1521"/>
      <c r="W598" s="1211"/>
      <c r="X598" s="1210"/>
      <c r="Y598" s="1211"/>
      <c r="Z598" s="1212"/>
      <c r="AA598" s="1213"/>
    </row>
    <row r="599" spans="1:27">
      <c r="B599" s="1555"/>
      <c r="C599" s="1555"/>
      <c r="D599" s="1569">
        <v>15</v>
      </c>
      <c r="E599" s="1551">
        <v>25</v>
      </c>
      <c r="F599" s="1551">
        <v>50</v>
      </c>
      <c r="G599" s="1551">
        <v>100</v>
      </c>
      <c r="H599" s="1551">
        <v>200</v>
      </c>
      <c r="I599" s="1551">
        <v>500</v>
      </c>
      <c r="J599" s="1570">
        <v>1000</v>
      </c>
      <c r="K599" s="1570">
        <v>2000</v>
      </c>
      <c r="L599" s="1570">
        <v>5000</v>
      </c>
      <c r="M599" s="1571">
        <v>10000</v>
      </c>
      <c r="P599" s="1210">
        <f>IF(U599&lt;=$D$599,$D$599,INDEX($D$331:$M$331,1,MATCH(U599,$D$331:$M$331,1)))</f>
        <v>15</v>
      </c>
      <c r="Q599" s="1211">
        <f>IF(OR(U599&lt;=$D$599,U599&gt;=$M$599),P599,INDEX($D$599:$M$599,1,MATCH(U599,$D$599:$M$599,1)+1))</f>
        <v>15</v>
      </c>
      <c r="R599" s="1210">
        <f>INDEX($D$600:$M$600,1,MATCH(P599,$D$599:$M$599,1))</f>
        <v>1.9E-2</v>
      </c>
      <c r="S599" s="1211">
        <f>INDEX($D$600:$M$600,1,MATCH(Q599,$D$599:$M$599,1))</f>
        <v>1.9E-2</v>
      </c>
      <c r="T599" s="1212">
        <f>IF(R599=S599,S599,S599-(S599-R599)/(Q599-P599)*(Q599-U599))</f>
        <v>1.9E-2</v>
      </c>
      <c r="U599" s="1519">
        <f>D8</f>
        <v>0</v>
      </c>
      <c r="V599" s="1521">
        <f>IF(AA599&lt;=$D$599,$D$599,INDEX($D$331:$M$331,1,MATCH(AA599,$D$331:$M$331,1)))</f>
        <v>15</v>
      </c>
      <c r="W599" s="1211">
        <f>IF(OR(AA599&lt;=$D$599,AA599&gt;=$M$599),V599,INDEX($D$599:$M$599,1,MATCH(AA599,$D$599:$M$599,1)+1))</f>
        <v>15</v>
      </c>
      <c r="X599" s="1210">
        <f>INDEX($D$600:$M$600,1,MATCH(V599,$D$599:$M$599,1))</f>
        <v>1.9E-2</v>
      </c>
      <c r="Y599" s="1211">
        <f>INDEX($D$600:$M$600,1,MATCH(W599,$D$599:$M$599,1))</f>
        <v>1.9E-2</v>
      </c>
      <c r="Z599" s="1212">
        <f>IF(X599=Y599,Y599,Y599-(Y599-X599)/(W599-V599)*(W599-AA599))</f>
        <v>1.9E-2</v>
      </c>
      <c r="AA599" s="1519">
        <f>E8</f>
        <v>0</v>
      </c>
    </row>
    <row r="600" spans="1:27">
      <c r="B600" s="1193">
        <v>1</v>
      </c>
      <c r="C600" s="992" t="s">
        <v>271</v>
      </c>
      <c r="D600" s="992">
        <v>1.9E-2</v>
      </c>
      <c r="E600" s="992">
        <v>1.7000000000000001E-2</v>
      </c>
      <c r="F600" s="992">
        <v>1.4999999999999999E-2</v>
      </c>
      <c r="G600" s="992">
        <v>1.2500000000000001E-2</v>
      </c>
      <c r="H600" s="992">
        <v>0.01</v>
      </c>
      <c r="I600" s="992">
        <v>7.4999999999999997E-3</v>
      </c>
      <c r="J600" s="992">
        <v>4.7000000000000002E-3</v>
      </c>
      <c r="K600" s="992">
        <v>2.5000000000000001E-3</v>
      </c>
      <c r="L600" s="992">
        <v>2E-3</v>
      </c>
      <c r="M600" s="992">
        <v>1E-3</v>
      </c>
      <c r="V600" s="1520"/>
      <c r="W600" s="1219"/>
      <c r="X600" s="1219"/>
      <c r="Y600" s="1219"/>
      <c r="Z600" s="1219"/>
      <c r="AA600" s="1219"/>
    </row>
    <row r="602" spans="1:27">
      <c r="V602" s="1520"/>
      <c r="W602" s="1219"/>
      <c r="X602" s="1219"/>
      <c r="Y602" s="1219"/>
      <c r="Z602" s="1219"/>
      <c r="AA602" s="1219"/>
    </row>
  </sheetData>
  <mergeCells count="9">
    <mergeCell ref="B356:B358"/>
    <mergeCell ref="D229:O229"/>
    <mergeCell ref="C380:C381"/>
    <mergeCell ref="P17:U17"/>
    <mergeCell ref="V17:AA17"/>
    <mergeCell ref="D28:O28"/>
    <mergeCell ref="D38:O38"/>
    <mergeCell ref="D219:O219"/>
    <mergeCell ref="C356:C358"/>
  </mergeCells>
  <phoneticPr fontId="60" type="noConversion"/>
  <dataValidations count="4">
    <dataValidation allowBlank="1" showInputMessage="1" showErrorMessage="1" promptTitle="Nếu thẩm tra dự toán" prompt="gói thầu thi công xây dựng thì CP thẩm tra dự toán xác định theo định mức (%) nhân với CP xây dựng trước GTGT trong gói thầu được duyệt._x000a_GTTC=CP xây dựng trước thuế trong Giá gói thầu được duyệt. TMDT_CPXD = CP Xây dựng trước thuế trong TMĐT được duyệt." sqref="U250 AA250"/>
    <dataValidation allowBlank="1" showInputMessage="1" showErrorMessage="1" promptTitle="Nếu công việc thiết kế thực hiện" prompt="theo gói thầu thì CP thẩm tra thiết kế xác định theo định mức (%) nhân với CP xây dựng trước thuế trong gói thầu được duyệt._x000a_GTTC=CPXD trước thuế trong giá gói thầu được duyệt. TMDT_CPXD = CP Xây dựng trước thuế trong TMĐT được duyệt." sqref="U240 AA240"/>
    <dataValidation allowBlank="1" showInputMessage="1" showErrorMessage="1" promptTitle="Nguyễn Thế Anh GXD" prompt="Kích để mở bảng tính nguồn trên Thông tư 12/2021/TT-BXD." sqref="B46:R46 B26:R26 B36:R36"/>
    <dataValidation allowBlank="1" showInputMessage="1" showErrorMessage="1" promptTitle="dutoan.gxd.vn" prompt="Kích để mở bảng tính nguồn trên Thông tư 12/2021/TT-BXD." sqref="B16"/>
  </dataValidations>
  <hyperlinks>
    <hyperlink ref="B26" r:id="rId1" location="bang-2-1-dinh-muc-chi-phi-lap-bao-cao-nghien-cuu-tien-kha-thi"/>
    <hyperlink ref="B36" r:id="rId2" location="bang-2-2-dinh-muc-chi-phi-lap-bao-cao-nghien-cuu-kha-thi"/>
    <hyperlink ref="B46" r:id="rId3" location="bang-2-3-dinh-muc-chi-phi-lap-bao-cao-kinh-te-ky-thuat"/>
    <hyperlink ref="B57" r:id="rId4" location="bang-2-4-dinh-muc-chi-phi-thiet-ke-ky-thuat-cua-cong-trinh-dan-dung-co-yeu-cau-thiet-ke-3-buoc"/>
    <hyperlink ref="B67" r:id="rId5" location="bang-2-5-dinh-muc-chi-phi-thiet-ke-ban-ve-thi-cong-cua-cong-trinh-dan-dung-co-yeu-cau-thiet-ke-2-buoc"/>
    <hyperlink ref="B77" r:id="rId6" location="bang-dd1"/>
    <hyperlink ref="B84" r:id="rId7" location="bang-2-6-dinh-muc-chi-phi-thiet-ke-ky-thuat-cua-cong-trinh-cong-nghiep-co-yeu-cau-thiet-ke-3-buoc"/>
    <hyperlink ref="B94" r:id="rId8" location="bang-2-7-dinh-muc-chi-phi-thiet-ke-ban-ve-thi-cong-cua-cong-trinh-cong-nghiep-co-yeu-cau-thiet-ke-2-buoc"/>
    <hyperlink ref="B104" r:id="rId9" location="bang-cn1"/>
    <hyperlink ref="B112" r:id="rId10" location="bang-cn2"/>
    <hyperlink ref="B123" r:id="rId11" location="bang-2-8-dinh-muc-chi-phi-thiet-ke-ky-thuat-cua-cong-trinh-giao-thong-co-yeu-cau-thiet-ke-3-buoc"/>
    <hyperlink ref="B133" r:id="rId12" location="bang-2-9-dinh-muc-chi-phi-thiet-ke-ban-ve-thi-cong-cua-cong-trinh-giao-thong-co-yeu-cau-thiet-ke-2-buoc"/>
    <hyperlink ref="B144" r:id="rId13" location="bang-2-10-dinh-muc-chi-phi-thiet-ke-ky-thuat-cua-cong-trinh-nong-nghiep-va-phat-trien-nong-thon-co-yeu-cau-thiet-ke-3-buoc"/>
    <hyperlink ref="B154" r:id="rId14" location="bang-2-11-dinh-muc-chi-phi-thiet-ke-ban-ve-thi-cong-cua-cong-trinh-nong-nghiep-va-phat-trien-nong-thon-co-yeu-cau-thiet-ke-2-buoc"/>
    <hyperlink ref="B164" r:id="rId15" location="bang-tl1"/>
    <hyperlink ref="B175" r:id="rId16" location="bang-2-12-dinh-muc-chi-phi-thiet-ke-ky-thuat-cua-cong-trinh-ha-tang-ky-thuat-co-yeu-cau-thiet-ke-3-buoc"/>
    <hyperlink ref="B185" r:id="rId17" location="bang-2-13-dinh-muc-chi-phi-thiet-ke-ban-ve-thi-cong-cua-cong-trinh-ha-tang-ky-thuat-co-yeu-cau-thiet-ke-2-buoc"/>
    <hyperlink ref="B195" r:id="rId18" location="bang-htkt1"/>
    <hyperlink ref="B203" r:id="rId19" location="bang-htkt2"/>
    <hyperlink ref="B217" r:id="rId20" location="bang-2-14-dinh-muc-chi-phi-tham-tra-bao-cao-nghien-cuu-tien-kha-thi"/>
    <hyperlink ref="B227" r:id="rId21" location="bang-2-15-dinh-muc-chi-phi-tham-tra-bao-cao-nghien-cuu-kha-thi"/>
    <hyperlink ref="B237" r:id="rId22" location="bang-2-16-dinh-muc-chi-phi-tham-tra-thiet-ke-xay-dung"/>
    <hyperlink ref="B247" r:id="rId23" location="bang-2-17-dinh-muc-chi-phi-tham-tra-du-toan-xay-dung"/>
    <hyperlink ref="B257" r:id="rId24" location="bang-2-18-dinh-muc-chi-phi-lap-ho-so-moi-thau-danh-gia-ho-so-du-thau-tu-van"/>
    <hyperlink ref="B263" r:id="rId25" location="bang-2-19-dinh-muc-chi-phi-lap-ho-so-moi-thau-danh-gia-ho-so-du-thau-thi-cong-xay-dung"/>
    <hyperlink ref="B273" r:id="rId26" location="bang-2-20-dinh-muc-chi-phi-lap-ho-so-moi-thau-danh-gia-ho-so-du-thau-mua-sam-vat-tu-thiet-bi"/>
    <hyperlink ref="B283" r:id="rId27" location="bang-2-21-dinh-muc-chi-phi-giam-sat-thi-cong-xay-dung"/>
    <hyperlink ref="B293" r:id="rId28" location="bang-2-22-dinh-muc-chi-phi-giam-sat-lap-dat-thiet-bi"/>
    <hyperlink ref="B303" r:id="rId29" location="bang-2-23-dinh-muc-chi-phi-giam-sat-cong-tac-khao-sat-xay-dung"/>
    <hyperlink ref="B309" r:id="rId30" location="bang-2-24-dinh-muc-chi-phi-quy-doi-von-dau-tu-xay-dung"/>
    <hyperlink ref="B315" r:id="rId31" location="b-chi-phi-kiem-toan-doc-lap"/>
    <hyperlink ref="B321" r:id="rId32" location="c-chi-phi-tham-tra-phe-duyet-quyet-toan"/>
    <hyperlink ref="B327" r:id="rId33" location="bieu-muc-thu-phi-tham-dinh-du-an-dau-tu-xay-dung"/>
    <hyperlink ref="B336" r:id="rId34" location="_1-phi-tham-dinh-thiet-ke-xay-dung-trien-khai-sau-thiet-ke-co-so"/>
    <hyperlink ref="B345" r:id="rId35" location="_2-phi-tham-dinh-du-toan-xay-dung"/>
    <hyperlink ref="B377" r:id="rId36" location="_1-doi-voi-du-an-cong-trinh"/>
  </hyperlinks>
  <printOptions horizontalCentered="1"/>
  <pageMargins left="0.70866141732283472" right="0.31496062992125984" top="0.74803149606299213" bottom="0.74803149606299213" header="0.31496062992125984" footer="0.31496062992125984"/>
  <pageSetup paperSize="9" orientation="portrait" horizontalDpi="300" verticalDpi="300" r:id="rId37"/>
  <headerFooter>
    <oddHeader>&amp;L&amp;"+,nghiêng"&amp;10Dự toán GXD - www.giaxaydung.vn</oddHeader>
    <oddFooter>&amp;C&amp;P</oddFooter>
  </headerFooter>
  <ignoredErrors>
    <ignoredError sqref="D7:D14 D5:D6" unlockedFormula="1"/>
  </ignoredErrors>
  <drawing r:id="rId38"/>
  <legacyDrawing r:id="rId3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58"/>
  <sheetViews>
    <sheetView showZeros="0" zoomScale="70" zoomScaleNormal="70" workbookViewId="0">
      <selection activeCell="E16" sqref="E16:H16"/>
    </sheetView>
  </sheetViews>
  <sheetFormatPr defaultColWidth="9" defaultRowHeight="15.75"/>
  <cols>
    <col min="1" max="1" width="4.140625" style="4" customWidth="1"/>
    <col min="2" max="2" width="10.42578125" style="4" customWidth="1"/>
    <col min="3" max="3" width="12.42578125" style="4" customWidth="1"/>
    <col min="4" max="4" width="18.5703125" style="4" customWidth="1"/>
    <col min="5" max="6" width="14.5703125" style="4" customWidth="1"/>
    <col min="7" max="7" width="8.140625" style="4" customWidth="1"/>
    <col min="8" max="8" width="7.5703125" style="4" customWidth="1"/>
    <col min="9" max="9" width="4.42578125" style="4" customWidth="1"/>
    <col min="10" max="10" width="4.5703125" style="4" customWidth="1"/>
    <col min="11" max="11" width="5.42578125" style="4" customWidth="1"/>
    <col min="12" max="12" width="4.5703125" style="4" customWidth="1"/>
    <col min="13" max="13" width="4" style="4" customWidth="1"/>
    <col min="14" max="14" width="7.85546875" style="4" customWidth="1"/>
    <col min="15" max="15" width="10.140625" style="4" customWidth="1"/>
    <col min="16" max="16384" width="9" style="4"/>
  </cols>
  <sheetData>
    <row r="1" spans="1:16" ht="16.5" thickTop="1">
      <c r="A1" s="216"/>
      <c r="B1" s="217"/>
      <c r="C1" s="217"/>
      <c r="D1" s="217"/>
      <c r="E1" s="217"/>
      <c r="F1" s="217"/>
      <c r="G1" s="217"/>
      <c r="H1" s="217"/>
      <c r="I1" s="217"/>
      <c r="J1" s="217"/>
      <c r="K1" s="217"/>
      <c r="L1" s="217"/>
      <c r="M1" s="217"/>
      <c r="N1" s="217"/>
      <c r="O1" s="218"/>
    </row>
    <row r="2" spans="1:16" ht="18.75">
      <c r="A2" s="5" t="s">
        <v>198</v>
      </c>
      <c r="B2" s="6"/>
      <c r="C2" s="6"/>
      <c r="D2" s="8"/>
      <c r="E2" s="17"/>
      <c r="F2" s="8" t="s">
        <v>504</v>
      </c>
      <c r="G2" s="47"/>
      <c r="H2" s="47"/>
      <c r="I2" s="47"/>
      <c r="J2" s="47"/>
      <c r="K2" s="47"/>
      <c r="L2" s="47"/>
      <c r="M2" s="47"/>
      <c r="N2" s="101"/>
      <c r="O2" s="219"/>
      <c r="P2" s="13"/>
    </row>
    <row r="3" spans="1:16" ht="18.75">
      <c r="A3" s="7" t="s">
        <v>200</v>
      </c>
      <c r="B3" s="8"/>
      <c r="C3" s="8"/>
      <c r="D3" s="8"/>
      <c r="E3" s="17"/>
      <c r="F3" s="8" t="s">
        <v>201</v>
      </c>
      <c r="G3" s="47"/>
      <c r="H3" s="47"/>
      <c r="I3" s="47"/>
      <c r="J3" s="47"/>
      <c r="K3" s="47"/>
      <c r="L3" s="47"/>
      <c r="M3" s="47"/>
      <c r="N3" s="101"/>
      <c r="O3" s="219"/>
    </row>
    <row r="4" spans="1:16" ht="18.75">
      <c r="A4" s="220"/>
      <c r="B4" s="221"/>
      <c r="C4" s="221"/>
      <c r="D4" s="221"/>
      <c r="E4" s="17"/>
      <c r="F4" s="17"/>
      <c r="G4" s="17"/>
      <c r="H4" s="17"/>
      <c r="I4" s="17"/>
      <c r="J4" s="17"/>
      <c r="K4" s="17"/>
      <c r="L4" s="17"/>
      <c r="M4" s="17"/>
      <c r="N4" s="17"/>
      <c r="O4" s="219"/>
    </row>
    <row r="5" spans="1:16" ht="18.75">
      <c r="A5" s="9" t="s">
        <v>207</v>
      </c>
      <c r="B5" s="9"/>
      <c r="C5" s="9"/>
      <c r="D5" s="221"/>
      <c r="E5" s="17"/>
      <c r="F5" s="17"/>
      <c r="G5" s="17"/>
      <c r="H5" s="17"/>
      <c r="I5" s="17"/>
      <c r="J5" s="17"/>
      <c r="K5" s="17"/>
      <c r="L5" s="17"/>
      <c r="M5" s="17"/>
      <c r="N5" s="17"/>
      <c r="O5" s="219"/>
    </row>
    <row r="6" spans="1:16">
      <c r="A6" s="222"/>
      <c r="B6" s="17"/>
      <c r="C6" s="17"/>
      <c r="D6" s="17"/>
      <c r="E6" s="17"/>
      <c r="F6" s="17"/>
      <c r="G6" s="17"/>
      <c r="H6" s="17"/>
      <c r="I6" s="17"/>
      <c r="J6" s="17"/>
      <c r="K6" s="17"/>
      <c r="L6" s="17"/>
      <c r="M6" s="17"/>
      <c r="N6" s="17"/>
      <c r="O6" s="219"/>
    </row>
    <row r="7" spans="1:16">
      <c r="A7" s="222"/>
      <c r="B7" s="17"/>
      <c r="C7" s="17"/>
      <c r="D7" s="17"/>
      <c r="E7" s="17"/>
      <c r="F7" s="17"/>
      <c r="G7" s="17"/>
      <c r="H7" s="17"/>
      <c r="I7" s="17"/>
      <c r="J7" s="17"/>
      <c r="K7" s="17"/>
      <c r="L7" s="17"/>
      <c r="M7" s="17"/>
      <c r="N7" s="17"/>
      <c r="O7" s="219"/>
    </row>
    <row r="8" spans="1:16">
      <c r="A8" s="222"/>
      <c r="B8" s="17"/>
      <c r="C8" s="17"/>
      <c r="D8" s="17"/>
      <c r="E8" s="17"/>
      <c r="F8" s="17"/>
      <c r="G8" s="17"/>
      <c r="H8" s="17"/>
      <c r="I8" s="17"/>
      <c r="J8" s="17"/>
      <c r="K8" s="17"/>
      <c r="L8" s="17"/>
      <c r="M8" s="17"/>
      <c r="N8" s="17"/>
      <c r="O8" s="219"/>
    </row>
    <row r="9" spans="1:16" ht="33.75" customHeight="1">
      <c r="A9" s="223" t="s">
        <v>202</v>
      </c>
      <c r="B9" s="224"/>
      <c r="C9" s="224"/>
      <c r="D9" s="224"/>
      <c r="E9" s="224"/>
      <c r="F9" s="224"/>
      <c r="G9" s="224"/>
      <c r="H9" s="224"/>
      <c r="I9" s="224"/>
      <c r="J9" s="224"/>
      <c r="K9" s="224"/>
      <c r="L9" s="224"/>
      <c r="M9" s="224"/>
      <c r="N9" s="224"/>
      <c r="O9" s="225"/>
    </row>
    <row r="10" spans="1:16">
      <c r="A10" s="222"/>
      <c r="B10" s="17"/>
      <c r="C10" s="17"/>
      <c r="D10" s="17"/>
      <c r="E10" s="17"/>
      <c r="F10" s="17"/>
      <c r="G10" s="17"/>
      <c r="H10" s="17"/>
      <c r="I10" s="17"/>
      <c r="J10" s="17"/>
      <c r="K10" s="17"/>
      <c r="L10" s="17"/>
      <c r="M10" s="17"/>
      <c r="N10" s="17"/>
      <c r="O10" s="219"/>
    </row>
    <row r="11" spans="1:16" s="13" customFormat="1" ht="24" customHeight="1">
      <c r="A11" s="226"/>
      <c r="B11" s="227"/>
      <c r="C11" s="227"/>
      <c r="D11" s="227" t="s">
        <v>386</v>
      </c>
      <c r="E11" s="227" t="str">
        <f>UPPER(Ts!K3)</f>
        <v>ĐIỀU CHỈNH, BỔ SUNG, ĐƠN GIÁ XÂY DỰNG CỦA MỘT SỐ LOẠI CÔNG TRÌNH ĐỂ XÁC ĐỊNH GIÁ TRỊ BỒI
THƯỜNG ĐỐI VỚI NHÀ Ở, CÔNG TRÌNH PHẢI THÁO DỠ KHI NHÀ NƯỚC THU HỒI ĐẤT TRÊN ĐỊA BÀN TỈNH SƠN LA</v>
      </c>
      <c r="F11" s="227"/>
      <c r="G11" s="227"/>
      <c r="H11" s="227"/>
      <c r="I11" s="227"/>
      <c r="J11" s="227"/>
      <c r="K11" s="227"/>
      <c r="L11" s="227"/>
      <c r="M11" s="227"/>
      <c r="N11" s="227"/>
      <c r="O11" s="228"/>
    </row>
    <row r="12" spans="1:16" s="13" customFormat="1" ht="24" customHeight="1">
      <c r="A12" s="226"/>
      <c r="B12" s="227"/>
      <c r="C12" s="227"/>
      <c r="D12" s="227" t="s">
        <v>204</v>
      </c>
      <c r="E12" s="227" t="str">
        <f>UPPER(Ts!K4)</f>
        <v>NHÀ 01 TẦNG, TƯỜNG CHỊU LỰC 110MM, MÁI LỢP FIBRÔXIMĂNG, KHÔNG CÓ KHU VỆ SINH KHÉP KÍN</v>
      </c>
      <c r="F12" s="227"/>
      <c r="G12" s="227"/>
      <c r="H12" s="227"/>
      <c r="I12" s="227"/>
      <c r="J12" s="227"/>
      <c r="K12" s="227"/>
      <c r="L12" s="227"/>
      <c r="M12" s="227"/>
      <c r="N12" s="227"/>
      <c r="O12" s="228"/>
    </row>
    <row r="13" spans="1:16" ht="24" customHeight="1">
      <c r="A13" s="220"/>
      <c r="B13" s="221"/>
      <c r="C13" s="221"/>
      <c r="D13" s="227" t="s">
        <v>205</v>
      </c>
      <c r="E13" s="227" t="str">
        <f>UPPER(Ts!K6)</f>
        <v/>
      </c>
      <c r="F13" s="221"/>
      <c r="G13" s="221"/>
      <c r="H13" s="221"/>
      <c r="I13" s="221"/>
      <c r="J13" s="221"/>
      <c r="K13" s="221"/>
      <c r="L13" s="221"/>
      <c r="M13" s="221"/>
      <c r="N13" s="221"/>
      <c r="O13" s="229"/>
    </row>
    <row r="14" spans="1:16" s="13" customFormat="1" ht="24" customHeight="1">
      <c r="A14" s="226"/>
      <c r="B14" s="227"/>
      <c r="C14" s="227"/>
      <c r="D14" s="227" t="s">
        <v>206</v>
      </c>
      <c r="E14" s="227">
        <f>Ts!K7</f>
        <v>0</v>
      </c>
      <c r="F14" s="227"/>
      <c r="G14" s="227"/>
      <c r="H14" s="227"/>
      <c r="I14" s="227"/>
      <c r="J14" s="227"/>
      <c r="K14" s="227"/>
      <c r="L14" s="227"/>
      <c r="M14" s="227"/>
      <c r="N14" s="227"/>
      <c r="O14" s="228"/>
    </row>
    <row r="15" spans="1:16" s="13" customFormat="1" ht="18.75">
      <c r="A15" s="226"/>
      <c r="B15" s="227"/>
      <c r="C15" s="227"/>
      <c r="D15" s="227"/>
      <c r="E15" s="227"/>
      <c r="F15" s="227"/>
      <c r="G15" s="227"/>
      <c r="H15" s="227"/>
      <c r="I15" s="227"/>
      <c r="J15" s="227"/>
      <c r="K15" s="227"/>
      <c r="L15" s="227"/>
      <c r="M15" s="227"/>
      <c r="N15" s="227"/>
      <c r="O15" s="228"/>
    </row>
    <row r="16" spans="1:16" s="13" customFormat="1" ht="24" customHeight="1">
      <c r="A16" s="226"/>
      <c r="B16" s="227"/>
      <c r="C16" s="227"/>
      <c r="D16" s="230" t="s">
        <v>208</v>
      </c>
      <c r="E16" s="2466">
        <f ca="1">'TH DTXD'!H34</f>
        <v>402548000</v>
      </c>
      <c r="F16" s="2466"/>
      <c r="G16" s="2466"/>
      <c r="H16" s="2466"/>
      <c r="I16" s="231" t="s">
        <v>209</v>
      </c>
      <c r="J16" s="227"/>
      <c r="K16" s="227"/>
      <c r="L16" s="227"/>
      <c r="M16" s="227"/>
      <c r="N16" s="227"/>
      <c r="O16" s="228"/>
    </row>
    <row r="17" spans="1:15" ht="20.25" customHeight="1">
      <c r="A17" s="222"/>
      <c r="B17" s="17"/>
      <c r="C17" s="17"/>
      <c r="D17" s="232" t="s">
        <v>1041</v>
      </c>
      <c r="E17" s="17" t="str" cm="1">
        <f t="array" aca="1" ref="E17" ca="1">vnd(E16)</f>
        <v>Bốn trăm linh hai triệu năm trăm bốn mươi tám nghìn đồng.</v>
      </c>
      <c r="F17" s="17"/>
      <c r="G17" s="17"/>
      <c r="H17" s="17"/>
      <c r="I17" s="17"/>
      <c r="J17" s="17"/>
      <c r="K17" s="17"/>
      <c r="L17" s="17"/>
      <c r="M17" s="17"/>
      <c r="N17" s="17"/>
      <c r="O17" s="233"/>
    </row>
    <row r="18" spans="1:15">
      <c r="A18" s="222"/>
      <c r="B18" s="17"/>
      <c r="C18" s="17"/>
      <c r="D18" s="17"/>
      <c r="E18" s="17"/>
      <c r="F18" s="17"/>
      <c r="G18" s="17"/>
      <c r="H18" s="17"/>
      <c r="I18" s="17"/>
      <c r="J18" s="17"/>
      <c r="K18" s="17"/>
      <c r="L18" s="17"/>
      <c r="M18" s="17"/>
      <c r="N18" s="17"/>
      <c r="O18" s="233"/>
    </row>
    <row r="19" spans="1:15" ht="12" customHeight="1">
      <c r="A19" s="222"/>
      <c r="B19" s="17"/>
      <c r="C19" s="17"/>
      <c r="D19" s="17"/>
      <c r="E19" s="17"/>
      <c r="F19" s="17"/>
      <c r="G19" s="17"/>
      <c r="H19" s="17"/>
      <c r="I19" s="17"/>
      <c r="J19" s="17"/>
      <c r="K19" s="17"/>
      <c r="L19" s="17"/>
      <c r="M19" s="17"/>
      <c r="N19" s="17"/>
      <c r="O19" s="233"/>
    </row>
    <row r="20" spans="1:15">
      <c r="A20" s="222"/>
      <c r="B20" s="17"/>
      <c r="C20" s="17"/>
      <c r="D20" s="17"/>
      <c r="E20" s="17"/>
      <c r="F20" s="17"/>
      <c r="G20" s="17"/>
      <c r="H20" s="49" t="s">
        <v>210</v>
      </c>
      <c r="I20" s="1010">
        <f>Ts!O9</f>
        <v>0</v>
      </c>
      <c r="J20" s="235"/>
      <c r="K20" s="236"/>
      <c r="L20" s="237"/>
      <c r="M20" s="236"/>
      <c r="N20" s="238"/>
      <c r="O20" s="233"/>
    </row>
    <row r="21" spans="1:15" ht="21.75" customHeight="1">
      <c r="A21" s="222"/>
      <c r="B21" s="17"/>
      <c r="C21" s="12"/>
      <c r="D21" s="101"/>
      <c r="E21" s="17"/>
      <c r="F21" s="17"/>
      <c r="G21" s="12"/>
      <c r="H21" s="17"/>
      <c r="I21" s="15" t="s">
        <v>211</v>
      </c>
      <c r="J21" s="101"/>
      <c r="K21" s="101"/>
      <c r="L21" s="101"/>
      <c r="M21" s="17"/>
      <c r="N21" s="17"/>
      <c r="O21" s="233"/>
    </row>
    <row r="22" spans="1:15" ht="18" customHeight="1">
      <c r="A22" s="222"/>
      <c r="B22" s="17"/>
      <c r="C22" s="12"/>
      <c r="D22" s="101"/>
      <c r="E22" s="17"/>
      <c r="F22" s="17"/>
      <c r="G22" s="12"/>
      <c r="H22" s="17"/>
      <c r="I22" s="101"/>
      <c r="J22" s="101"/>
      <c r="K22" s="101"/>
      <c r="L22" s="101"/>
      <c r="M22" s="17"/>
      <c r="N22" s="17"/>
      <c r="O22" s="233"/>
    </row>
    <row r="23" spans="1:15" ht="18" customHeight="1">
      <c r="A23" s="222"/>
      <c r="B23" s="17"/>
      <c r="C23" s="12"/>
      <c r="D23" s="101"/>
      <c r="E23" s="17"/>
      <c r="F23" s="17"/>
      <c r="G23" s="12"/>
      <c r="H23" s="17"/>
      <c r="I23" s="101"/>
      <c r="J23" s="101"/>
      <c r="K23" s="101"/>
      <c r="L23" s="101"/>
      <c r="M23" s="17"/>
      <c r="N23" s="17"/>
      <c r="O23" s="233"/>
    </row>
    <row r="24" spans="1:15" ht="18" customHeight="1">
      <c r="A24" s="222"/>
      <c r="B24" s="17"/>
      <c r="C24" s="101"/>
      <c r="D24" s="101"/>
      <c r="E24" s="17"/>
      <c r="F24" s="17"/>
      <c r="G24" s="101"/>
      <c r="H24" s="17"/>
      <c r="I24" s="101"/>
      <c r="J24" s="101"/>
      <c r="K24" s="101"/>
      <c r="L24" s="101"/>
      <c r="M24" s="17"/>
      <c r="N24" s="17"/>
      <c r="O24" s="233"/>
    </row>
    <row r="25" spans="1:15" ht="18" customHeight="1">
      <c r="A25" s="222"/>
      <c r="B25" s="17"/>
      <c r="C25" s="101"/>
      <c r="D25" s="101"/>
      <c r="E25" s="17"/>
      <c r="F25" s="17"/>
      <c r="G25" s="101"/>
      <c r="H25" s="17"/>
      <c r="I25" s="101"/>
      <c r="J25" s="101"/>
      <c r="K25" s="101"/>
      <c r="L25" s="101"/>
      <c r="M25" s="17"/>
      <c r="N25" s="17"/>
      <c r="O25" s="233"/>
    </row>
    <row r="26" spans="1:15" ht="18" customHeight="1">
      <c r="A26" s="222"/>
      <c r="B26" s="17"/>
      <c r="C26" s="101"/>
      <c r="D26" s="101"/>
      <c r="E26" s="17"/>
      <c r="F26" s="17"/>
      <c r="G26" s="101"/>
      <c r="H26" s="17"/>
      <c r="I26" s="101"/>
      <c r="J26" s="101"/>
      <c r="K26" s="101"/>
      <c r="L26" s="101"/>
      <c r="M26" s="17"/>
      <c r="N26" s="17"/>
      <c r="O26" s="233"/>
    </row>
    <row r="27" spans="1:15">
      <c r="A27" s="222"/>
      <c r="B27" s="17"/>
      <c r="C27" s="101"/>
      <c r="D27" s="101"/>
      <c r="E27" s="17"/>
      <c r="F27" s="17"/>
      <c r="G27" s="101"/>
      <c r="H27" s="17"/>
      <c r="I27" s="239" t="s">
        <v>212</v>
      </c>
      <c r="J27" s="101"/>
      <c r="K27" s="101"/>
      <c r="L27" s="101"/>
      <c r="M27" s="17"/>
      <c r="N27" s="17"/>
      <c r="O27" s="233"/>
    </row>
    <row r="28" spans="1:15" ht="16.5" thickBot="1">
      <c r="A28" s="240"/>
      <c r="B28" s="241"/>
      <c r="C28" s="241"/>
      <c r="D28" s="241"/>
      <c r="E28" s="241"/>
      <c r="F28" s="241"/>
      <c r="G28" s="241"/>
      <c r="H28" s="241"/>
      <c r="I28" s="241"/>
      <c r="J28" s="241"/>
      <c r="K28" s="241"/>
      <c r="L28" s="241"/>
      <c r="M28" s="241"/>
      <c r="N28" s="241"/>
      <c r="O28" s="242"/>
    </row>
    <row r="29" spans="1:15" ht="16.5" thickTop="1">
      <c r="A29" s="216"/>
      <c r="B29" s="217"/>
      <c r="C29" s="217"/>
      <c r="D29" s="217"/>
      <c r="E29" s="217"/>
      <c r="F29" s="217"/>
      <c r="G29" s="217"/>
      <c r="H29" s="217"/>
      <c r="I29" s="217"/>
      <c r="J29" s="217"/>
      <c r="K29" s="217"/>
      <c r="L29" s="217"/>
      <c r="M29" s="217"/>
      <c r="N29" s="217"/>
      <c r="O29" s="218"/>
    </row>
    <row r="30" spans="1:15" ht="18.75">
      <c r="A30" s="5" t="s">
        <v>198</v>
      </c>
      <c r="B30" s="6"/>
      <c r="C30" s="6"/>
      <c r="D30" s="8"/>
      <c r="E30" s="17"/>
      <c r="F30" s="243" t="s">
        <v>199</v>
      </c>
      <c r="G30" s="47"/>
      <c r="H30" s="47"/>
      <c r="I30" s="47"/>
      <c r="J30" s="47"/>
      <c r="K30" s="47"/>
      <c r="L30" s="47"/>
      <c r="M30" s="47"/>
      <c r="N30" s="101"/>
      <c r="O30" s="219"/>
    </row>
    <row r="31" spans="1:15" ht="18.75">
      <c r="A31" s="7" t="s">
        <v>200</v>
      </c>
      <c r="B31" s="8"/>
      <c r="C31" s="8"/>
      <c r="D31" s="8"/>
      <c r="E31" s="17"/>
      <c r="F31" s="8" t="s">
        <v>201</v>
      </c>
      <c r="G31" s="47"/>
      <c r="H31" s="47"/>
      <c r="I31" s="47"/>
      <c r="J31" s="47"/>
      <c r="K31" s="47"/>
      <c r="L31" s="47"/>
      <c r="M31" s="47"/>
      <c r="N31" s="101"/>
      <c r="O31" s="219"/>
    </row>
    <row r="32" spans="1:15" ht="18.75">
      <c r="A32" s="220"/>
      <c r="B32" s="221"/>
      <c r="C32" s="221"/>
      <c r="D32" s="221"/>
      <c r="E32" s="17"/>
      <c r="F32" s="17"/>
      <c r="G32" s="17"/>
      <c r="H32" s="17"/>
      <c r="I32" s="17"/>
      <c r="J32" s="17"/>
      <c r="K32" s="17"/>
      <c r="L32" s="17"/>
      <c r="M32" s="17"/>
      <c r="N32" s="17"/>
      <c r="O32" s="219"/>
    </row>
    <row r="33" spans="1:15" ht="18.75">
      <c r="A33" s="9"/>
      <c r="B33" s="6"/>
      <c r="C33" s="6"/>
      <c r="D33" s="221"/>
      <c r="E33" s="17"/>
      <c r="F33" s="17"/>
      <c r="G33" s="17"/>
      <c r="H33" s="17"/>
      <c r="I33" s="17"/>
      <c r="J33" s="17"/>
      <c r="K33" s="17"/>
      <c r="L33" s="17"/>
      <c r="M33" s="17"/>
      <c r="N33" s="17"/>
      <c r="O33" s="219"/>
    </row>
    <row r="34" spans="1:15">
      <c r="A34" s="222"/>
      <c r="B34" s="17"/>
      <c r="C34" s="17"/>
      <c r="D34" s="17"/>
      <c r="E34" s="17"/>
      <c r="F34" s="17"/>
      <c r="G34" s="17"/>
      <c r="H34" s="17"/>
      <c r="I34" s="17"/>
      <c r="J34" s="17"/>
      <c r="K34" s="17"/>
      <c r="L34" s="17"/>
      <c r="M34" s="17"/>
      <c r="N34" s="17"/>
      <c r="O34" s="219"/>
    </row>
    <row r="35" spans="1:15">
      <c r="A35" s="222"/>
      <c r="B35" s="17"/>
      <c r="C35" s="17"/>
      <c r="D35" s="17"/>
      <c r="E35" s="17"/>
      <c r="F35" s="17"/>
      <c r="G35" s="17"/>
      <c r="H35" s="17"/>
      <c r="I35" s="17"/>
      <c r="J35" s="17"/>
      <c r="K35" s="17"/>
      <c r="L35" s="17"/>
      <c r="M35" s="17"/>
      <c r="N35" s="17"/>
      <c r="O35" s="219"/>
    </row>
    <row r="36" spans="1:15">
      <c r="A36" s="222"/>
      <c r="B36" s="17"/>
      <c r="C36" s="17"/>
      <c r="D36" s="17"/>
      <c r="E36" s="17"/>
      <c r="F36" s="17"/>
      <c r="G36" s="17"/>
      <c r="H36" s="17"/>
      <c r="I36" s="17"/>
      <c r="J36" s="17"/>
      <c r="K36" s="17"/>
      <c r="L36" s="17"/>
      <c r="M36" s="17"/>
      <c r="N36" s="17"/>
      <c r="O36" s="219"/>
    </row>
    <row r="37" spans="1:15">
      <c r="A37" s="222"/>
      <c r="B37" s="17"/>
      <c r="C37" s="17"/>
      <c r="D37" s="17"/>
      <c r="E37" s="17"/>
      <c r="F37" s="17"/>
      <c r="G37" s="17"/>
      <c r="H37" s="17"/>
      <c r="I37" s="17"/>
      <c r="J37" s="17"/>
      <c r="K37" s="17"/>
      <c r="L37" s="17"/>
      <c r="M37" s="17"/>
      <c r="N37" s="17"/>
      <c r="O37" s="219"/>
    </row>
    <row r="38" spans="1:15">
      <c r="A38" s="222"/>
      <c r="B38" s="17"/>
      <c r="C38" s="17"/>
      <c r="D38" s="17"/>
      <c r="E38" s="17"/>
      <c r="F38" s="17"/>
      <c r="G38" s="17"/>
      <c r="H38" s="17"/>
      <c r="I38" s="17"/>
      <c r="J38" s="17"/>
      <c r="K38" s="17"/>
      <c r="L38" s="17"/>
      <c r="M38" s="17"/>
      <c r="N38" s="17"/>
      <c r="O38" s="219"/>
    </row>
    <row r="39" spans="1:15" ht="33.75" customHeight="1">
      <c r="A39" s="223" t="s">
        <v>202</v>
      </c>
      <c r="B39" s="224"/>
      <c r="C39" s="224"/>
      <c r="D39" s="224"/>
      <c r="E39" s="224"/>
      <c r="F39" s="224"/>
      <c r="G39" s="224"/>
      <c r="H39" s="224"/>
      <c r="I39" s="224"/>
      <c r="J39" s="224"/>
      <c r="K39" s="224"/>
      <c r="L39" s="224"/>
      <c r="M39" s="224"/>
      <c r="N39" s="224"/>
      <c r="O39" s="225"/>
    </row>
    <row r="40" spans="1:15" ht="32.1" customHeight="1">
      <c r="A40" s="9" t="s">
        <v>203</v>
      </c>
      <c r="B40" s="224"/>
      <c r="C40" s="224"/>
      <c r="D40" s="6"/>
      <c r="E40" s="224"/>
      <c r="F40" s="224"/>
      <c r="G40" s="224"/>
      <c r="H40" s="224"/>
      <c r="I40" s="224"/>
      <c r="J40" s="224"/>
      <c r="K40" s="224"/>
      <c r="L40" s="224"/>
      <c r="M40" s="224"/>
      <c r="N40" s="224"/>
      <c r="O40" s="225"/>
    </row>
    <row r="41" spans="1:15" ht="18" customHeight="1">
      <c r="A41" s="9"/>
      <c r="B41" s="224"/>
      <c r="C41" s="224"/>
      <c r="D41" s="6"/>
      <c r="E41" s="224"/>
      <c r="F41" s="224"/>
      <c r="G41" s="224"/>
      <c r="H41" s="224"/>
      <c r="I41" s="224"/>
      <c r="J41" s="224"/>
      <c r="K41" s="224"/>
      <c r="L41" s="224"/>
      <c r="M41" s="224"/>
      <c r="N41" s="224"/>
      <c r="O41" s="225"/>
    </row>
    <row r="42" spans="1:15" s="10" customFormat="1" ht="24" customHeight="1">
      <c r="A42" s="226"/>
      <c r="B42" s="227"/>
      <c r="C42" s="227"/>
      <c r="D42" s="227" t="str">
        <f>D11</f>
        <v xml:space="preserve">DỰ ÁN: </v>
      </c>
      <c r="E42" s="227" t="str">
        <f>E11</f>
        <v>ĐIỀU CHỈNH, BỔ SUNG, ĐƠN GIÁ XÂY DỰNG CỦA MỘT SỐ LOẠI CÔNG TRÌNH ĐỂ XÁC ĐỊNH GIÁ TRỊ BỒI
THƯỜNG ĐỐI VỚI NHÀ Ở, CÔNG TRÌNH PHẢI THÁO DỠ KHI NHÀ NƯỚC THU HỒI ĐẤT TRÊN ĐỊA BÀN TỈNH SƠN LA</v>
      </c>
      <c r="F42" s="227"/>
      <c r="G42" s="227"/>
      <c r="H42" s="227"/>
      <c r="I42" s="227"/>
      <c r="J42" s="227"/>
      <c r="K42" s="227"/>
      <c r="L42" s="227"/>
      <c r="M42" s="227"/>
      <c r="N42" s="227"/>
      <c r="O42" s="228"/>
    </row>
    <row r="43" spans="1:15" s="10" customFormat="1" ht="24" customHeight="1">
      <c r="A43" s="226"/>
      <c r="B43" s="227"/>
      <c r="C43" s="227"/>
      <c r="D43" s="227" t="s">
        <v>247</v>
      </c>
      <c r="E43" s="227" t="str">
        <f>E12</f>
        <v>NHÀ 01 TẦNG, TƯỜNG CHỊU LỰC 110MM, MÁI LỢP FIBRÔXIMĂNG, KHÔNG CÓ KHU VỆ SINH KHÉP KÍN</v>
      </c>
      <c r="F43" s="227"/>
      <c r="G43" s="227"/>
      <c r="H43" s="227"/>
      <c r="I43" s="227"/>
      <c r="J43" s="227"/>
      <c r="K43" s="227"/>
      <c r="L43" s="227"/>
      <c r="M43" s="227"/>
      <c r="N43" s="227"/>
      <c r="O43" s="228"/>
    </row>
    <row r="44" spans="1:15" s="11" customFormat="1" ht="24" customHeight="1">
      <c r="A44" s="220"/>
      <c r="B44" s="221"/>
      <c r="C44" s="221"/>
      <c r="D44" s="227" t="s">
        <v>205</v>
      </c>
      <c r="E44" s="227" t="str">
        <f>E13</f>
        <v/>
      </c>
      <c r="F44" s="221"/>
      <c r="G44" s="221"/>
      <c r="H44" s="221"/>
      <c r="I44" s="221"/>
      <c r="J44" s="221"/>
      <c r="K44" s="221"/>
      <c r="L44" s="221"/>
      <c r="M44" s="221"/>
      <c r="N44" s="221"/>
      <c r="O44" s="229"/>
    </row>
    <row r="45" spans="1:15" s="10" customFormat="1" ht="24" customHeight="1">
      <c r="A45" s="226"/>
      <c r="B45" s="227"/>
      <c r="C45" s="227"/>
      <c r="D45" s="227" t="s">
        <v>206</v>
      </c>
      <c r="E45" s="227">
        <f>E14</f>
        <v>0</v>
      </c>
      <c r="F45" s="227"/>
      <c r="G45" s="227"/>
      <c r="H45" s="227"/>
      <c r="I45" s="227"/>
      <c r="J45" s="227"/>
      <c r="K45" s="227"/>
      <c r="L45" s="227"/>
      <c r="M45" s="227"/>
      <c r="N45" s="227"/>
      <c r="O45" s="228"/>
    </row>
    <row r="46" spans="1:15">
      <c r="A46" s="222"/>
      <c r="B46" s="17"/>
      <c r="C46" s="17"/>
      <c r="D46" s="17"/>
      <c r="E46" s="17"/>
      <c r="F46" s="17"/>
      <c r="G46" s="17"/>
      <c r="H46" s="17"/>
      <c r="I46" s="17"/>
      <c r="J46" s="17"/>
      <c r="K46" s="17"/>
      <c r="L46" s="17"/>
      <c r="M46" s="17"/>
      <c r="N46" s="17"/>
      <c r="O46" s="233"/>
    </row>
    <row r="47" spans="1:15">
      <c r="A47" s="222"/>
      <c r="B47" s="17"/>
      <c r="C47" s="17"/>
      <c r="D47" s="17"/>
      <c r="E47" s="17"/>
      <c r="F47" s="17"/>
      <c r="G47" s="17"/>
      <c r="H47" s="17"/>
      <c r="I47" s="17"/>
      <c r="J47" s="17"/>
      <c r="K47" s="17"/>
      <c r="L47" s="17"/>
      <c r="M47" s="17"/>
      <c r="N47" s="17"/>
      <c r="O47" s="233"/>
    </row>
    <row r="48" spans="1:15">
      <c r="A48" s="222"/>
      <c r="B48" s="17"/>
      <c r="C48" s="17"/>
      <c r="D48" s="17"/>
      <c r="E48" s="17"/>
      <c r="F48" s="17"/>
      <c r="G48" s="17"/>
      <c r="H48" s="17"/>
      <c r="I48" s="17"/>
      <c r="J48" s="17"/>
      <c r="K48" s="17"/>
      <c r="L48" s="17"/>
      <c r="M48" s="17"/>
      <c r="N48" s="17"/>
      <c r="O48" s="233"/>
    </row>
    <row r="49" spans="1:15">
      <c r="A49" s="222"/>
      <c r="B49" s="244"/>
      <c r="C49" s="17"/>
      <c r="D49" s="17"/>
      <c r="E49" s="244"/>
      <c r="F49" s="17"/>
      <c r="G49" s="17"/>
      <c r="H49" s="244"/>
      <c r="I49" s="17"/>
      <c r="J49" s="244"/>
      <c r="K49" s="17"/>
      <c r="L49" s="17"/>
      <c r="M49" s="17"/>
      <c r="N49" s="17"/>
      <c r="O49" s="233"/>
    </row>
    <row r="50" spans="1:15">
      <c r="A50" s="222"/>
      <c r="B50" s="17"/>
      <c r="C50" s="17"/>
      <c r="D50" s="17"/>
      <c r="E50" s="17"/>
      <c r="F50" s="17"/>
      <c r="G50" s="17"/>
      <c r="H50" s="17"/>
      <c r="I50" s="17"/>
      <c r="J50" s="17"/>
      <c r="K50" s="17"/>
      <c r="L50" s="17"/>
      <c r="M50" s="17"/>
      <c r="N50" s="17"/>
      <c r="O50" s="233"/>
    </row>
    <row r="51" spans="1:15">
      <c r="A51" s="222"/>
      <c r="B51" s="17"/>
      <c r="C51" s="17"/>
      <c r="D51" s="17"/>
      <c r="E51" s="17"/>
      <c r="F51" s="17"/>
      <c r="G51" s="17"/>
      <c r="H51" s="49"/>
      <c r="I51" s="234"/>
      <c r="J51" s="235"/>
      <c r="K51" s="236"/>
      <c r="L51" s="237"/>
      <c r="M51" s="236"/>
      <c r="N51" s="238"/>
      <c r="O51" s="233"/>
    </row>
    <row r="52" spans="1:15">
      <c r="A52" s="222"/>
      <c r="B52" s="17"/>
      <c r="C52" s="17"/>
      <c r="D52" s="17"/>
      <c r="E52" s="17"/>
      <c r="F52" s="17"/>
      <c r="G52" s="17"/>
      <c r="H52" s="17"/>
      <c r="I52" s="17"/>
      <c r="J52" s="17"/>
      <c r="K52" s="17"/>
      <c r="L52" s="17"/>
      <c r="M52" s="17"/>
      <c r="N52" s="17"/>
      <c r="O52" s="233"/>
    </row>
    <row r="53" spans="1:15">
      <c r="A53" s="222"/>
      <c r="B53" s="17"/>
      <c r="C53" s="12"/>
      <c r="D53" s="101"/>
      <c r="E53" s="17"/>
      <c r="F53" s="17"/>
      <c r="G53" s="12"/>
      <c r="H53" s="17"/>
      <c r="I53" s="12"/>
      <c r="J53" s="101"/>
      <c r="K53" s="101"/>
      <c r="L53" s="101"/>
      <c r="M53" s="17"/>
      <c r="N53" s="17"/>
      <c r="O53" s="233"/>
    </row>
    <row r="54" spans="1:15" ht="18" customHeight="1">
      <c r="A54" s="222"/>
      <c r="B54" s="17"/>
      <c r="C54" s="12"/>
      <c r="D54" s="101"/>
      <c r="E54" s="17"/>
      <c r="F54" s="17"/>
      <c r="G54" s="12"/>
      <c r="H54" s="17"/>
      <c r="I54" s="101"/>
      <c r="J54" s="101"/>
      <c r="K54" s="101"/>
      <c r="L54" s="101"/>
      <c r="M54" s="17"/>
      <c r="N54" s="17"/>
      <c r="O54" s="233"/>
    </row>
    <row r="55" spans="1:15" ht="18" customHeight="1">
      <c r="A55" s="222"/>
      <c r="B55" s="17"/>
      <c r="C55" s="12"/>
      <c r="D55" s="101"/>
      <c r="E55" s="17"/>
      <c r="F55" s="17"/>
      <c r="G55" s="12"/>
      <c r="H55" s="17"/>
      <c r="I55" s="101"/>
      <c r="J55" s="101"/>
      <c r="K55" s="101"/>
      <c r="L55" s="101"/>
      <c r="M55" s="17"/>
      <c r="N55" s="17"/>
      <c r="O55" s="233"/>
    </row>
    <row r="56" spans="1:15" ht="16.5" thickBot="1">
      <c r="A56" s="240"/>
      <c r="B56" s="241"/>
      <c r="C56" s="241"/>
      <c r="D56" s="241"/>
      <c r="E56" s="241"/>
      <c r="F56" s="241"/>
      <c r="G56" s="241"/>
      <c r="H56" s="241"/>
      <c r="I56" s="241"/>
      <c r="J56" s="241"/>
      <c r="K56" s="241"/>
      <c r="L56" s="241"/>
      <c r="M56" s="241"/>
      <c r="N56" s="241"/>
      <c r="O56" s="242"/>
    </row>
    <row r="57" spans="1:15" ht="16.5" thickTop="1">
      <c r="A57" s="17"/>
      <c r="B57" s="17"/>
      <c r="C57" s="17"/>
      <c r="D57" s="17"/>
      <c r="E57" s="17"/>
      <c r="F57" s="17"/>
      <c r="G57" s="17"/>
      <c r="H57" s="17"/>
      <c r="I57" s="17"/>
      <c r="J57" s="17"/>
      <c r="K57" s="17"/>
      <c r="L57" s="17"/>
      <c r="M57" s="17"/>
      <c r="N57" s="17"/>
      <c r="O57" s="17"/>
    </row>
    <row r="58" spans="1:15">
      <c r="A58" s="53"/>
      <c r="B58" s="17"/>
      <c r="C58" s="17"/>
      <c r="D58" s="17"/>
      <c r="E58" s="17"/>
      <c r="F58" s="17"/>
      <c r="G58" s="17"/>
      <c r="H58" s="17"/>
      <c r="I58" s="17"/>
      <c r="J58" s="17"/>
      <c r="K58" s="17"/>
      <c r="L58" s="17"/>
      <c r="M58" s="17"/>
      <c r="N58" s="17"/>
      <c r="O58" s="17"/>
    </row>
  </sheetData>
  <mergeCells count="1">
    <mergeCell ref="E16:H16"/>
  </mergeCells>
  <phoneticPr fontId="60" type="noConversion"/>
  <hyperlinks>
    <hyperlink ref="F30" location="ML!A1" tooltip="Về mục lục" display="CỘNG HOÀ XÃ HỘI CHỦ NGHĨA VIỆT NAM"/>
  </hyperlinks>
  <printOptions horizontalCentered="1"/>
  <pageMargins left="0.75" right="0.2" top="0.5" bottom="0.5" header="0.25" footer="0.25"/>
  <pageSetup paperSize="9" orientation="landscape" blackAndWhite="1"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P57"/>
  <sheetViews>
    <sheetView showZeros="0" zoomScale="70" zoomScaleNormal="70" workbookViewId="0">
      <selection activeCell="E16" sqref="E16:H16"/>
    </sheetView>
  </sheetViews>
  <sheetFormatPr defaultColWidth="9" defaultRowHeight="15.75"/>
  <cols>
    <col min="1" max="1" width="4.140625" style="4" customWidth="1"/>
    <col min="2" max="2" width="10.42578125" style="4" customWidth="1"/>
    <col min="3" max="3" width="12.42578125" style="4" customWidth="1"/>
    <col min="4" max="4" width="18.5703125" style="4" customWidth="1"/>
    <col min="5" max="6" width="14.5703125" style="4" customWidth="1"/>
    <col min="7" max="7" width="8.140625" style="4" customWidth="1"/>
    <col min="8" max="8" width="7.5703125" style="4" customWidth="1"/>
    <col min="9" max="9" width="4.42578125" style="4" customWidth="1"/>
    <col min="10" max="10" width="4.5703125" style="4" customWidth="1"/>
    <col min="11" max="11" width="5.42578125" style="4" customWidth="1"/>
    <col min="12" max="12" width="4.5703125" style="4" customWidth="1"/>
    <col min="13" max="13" width="4" style="4" customWidth="1"/>
    <col min="14" max="14" width="7.85546875" style="4" customWidth="1"/>
    <col min="15" max="15" width="10.140625" style="4" customWidth="1"/>
    <col min="16" max="16384" width="9" style="4"/>
  </cols>
  <sheetData>
    <row r="1" spans="1:16" ht="16.5" thickTop="1">
      <c r="A1" s="216"/>
      <c r="B1" s="217"/>
      <c r="C1" s="217"/>
      <c r="D1" s="217"/>
      <c r="E1" s="217"/>
      <c r="F1" s="217"/>
      <c r="G1" s="217"/>
      <c r="H1" s="217"/>
      <c r="I1" s="217"/>
      <c r="J1" s="217"/>
      <c r="K1" s="217"/>
      <c r="L1" s="217"/>
      <c r="M1" s="217"/>
      <c r="N1" s="217"/>
      <c r="O1" s="218"/>
    </row>
    <row r="2" spans="1:16" ht="18.75">
      <c r="A2" s="5" t="s">
        <v>198</v>
      </c>
      <c r="B2" s="6"/>
      <c r="C2" s="6"/>
      <c r="D2" s="8"/>
      <c r="E2" s="17"/>
      <c r="F2" s="8" t="s">
        <v>504</v>
      </c>
      <c r="G2" s="47"/>
      <c r="H2" s="47"/>
      <c r="I2" s="47"/>
      <c r="J2" s="47"/>
      <c r="K2" s="47"/>
      <c r="L2" s="47"/>
      <c r="M2" s="47"/>
      <c r="N2" s="101"/>
      <c r="O2" s="219"/>
      <c r="P2" s="13"/>
    </row>
    <row r="3" spans="1:16" ht="18.75">
      <c r="A3" s="7" t="s">
        <v>200</v>
      </c>
      <c r="B3" s="8"/>
      <c r="C3" s="8"/>
      <c r="D3" s="8"/>
      <c r="E3" s="17"/>
      <c r="F3" s="8" t="s">
        <v>201</v>
      </c>
      <c r="G3" s="47"/>
      <c r="H3" s="47"/>
      <c r="I3" s="47"/>
      <c r="J3" s="47"/>
      <c r="K3" s="47"/>
      <c r="L3" s="47"/>
      <c r="M3" s="47"/>
      <c r="N3" s="101"/>
      <c r="O3" s="219"/>
    </row>
    <row r="4" spans="1:16" ht="18.75">
      <c r="A4" s="220"/>
      <c r="B4" s="221"/>
      <c r="C4" s="221"/>
      <c r="D4" s="221"/>
      <c r="E4" s="17"/>
      <c r="F4" s="17"/>
      <c r="G4" s="17"/>
      <c r="H4" s="17"/>
      <c r="I4" s="17"/>
      <c r="J4" s="17"/>
      <c r="K4" s="17"/>
      <c r="L4" s="17"/>
      <c r="M4" s="17"/>
      <c r="N4" s="17"/>
      <c r="O4" s="219"/>
    </row>
    <row r="5" spans="1:16" ht="18.75">
      <c r="A5" s="9" t="s">
        <v>207</v>
      </c>
      <c r="B5" s="9"/>
      <c r="C5" s="9"/>
      <c r="D5" s="221"/>
      <c r="E5" s="17"/>
      <c r="F5" s="17"/>
      <c r="G5" s="17"/>
      <c r="H5" s="17"/>
      <c r="I5" s="17"/>
      <c r="J5" s="17"/>
      <c r="K5" s="17"/>
      <c r="L5" s="17"/>
      <c r="M5" s="17"/>
      <c r="N5" s="17"/>
      <c r="O5" s="219"/>
    </row>
    <row r="6" spans="1:16">
      <c r="A6" s="222"/>
      <c r="B6" s="17"/>
      <c r="C6" s="17"/>
      <c r="D6" s="17"/>
      <c r="E6" s="17"/>
      <c r="F6" s="17"/>
      <c r="G6" s="17"/>
      <c r="H6" s="17"/>
      <c r="I6" s="17"/>
      <c r="J6" s="17"/>
      <c r="K6" s="17"/>
      <c r="L6" s="17"/>
      <c r="M6" s="17"/>
      <c r="N6" s="17"/>
      <c r="O6" s="219"/>
    </row>
    <row r="7" spans="1:16">
      <c r="A7" s="222"/>
      <c r="B7" s="17"/>
      <c r="C7" s="17"/>
      <c r="D7" s="17"/>
      <c r="E7" s="17"/>
      <c r="F7" s="17"/>
      <c r="G7" s="17"/>
      <c r="H7" s="17"/>
      <c r="I7" s="17"/>
      <c r="J7" s="17"/>
      <c r="K7" s="17"/>
      <c r="L7" s="17"/>
      <c r="M7" s="17"/>
      <c r="N7" s="17"/>
      <c r="O7" s="219"/>
    </row>
    <row r="8" spans="1:16">
      <c r="A8" s="222"/>
      <c r="B8" s="17"/>
      <c r="C8" s="17"/>
      <c r="D8" s="17"/>
      <c r="E8" s="17"/>
      <c r="F8" s="17"/>
      <c r="G8" s="17"/>
      <c r="H8" s="17"/>
      <c r="I8" s="17"/>
      <c r="J8" s="17"/>
      <c r="K8" s="17"/>
      <c r="L8" s="17"/>
      <c r="M8" s="17"/>
      <c r="N8" s="17"/>
      <c r="O8" s="219"/>
    </row>
    <row r="9" spans="1:16" ht="33.75" customHeight="1">
      <c r="A9" s="223" t="s">
        <v>197</v>
      </c>
      <c r="B9" s="224"/>
      <c r="C9" s="224"/>
      <c r="D9" s="224"/>
      <c r="E9" s="224"/>
      <c r="F9" s="224"/>
      <c r="G9" s="224"/>
      <c r="H9" s="224"/>
      <c r="I9" s="224"/>
      <c r="J9" s="224"/>
      <c r="K9" s="224"/>
      <c r="L9" s="224"/>
      <c r="M9" s="224"/>
      <c r="N9" s="224"/>
      <c r="O9" s="225"/>
    </row>
    <row r="10" spans="1:16">
      <c r="A10" s="222"/>
      <c r="B10" s="17"/>
      <c r="C10" s="17"/>
      <c r="D10" s="17"/>
      <c r="E10" s="17"/>
      <c r="F10" s="17"/>
      <c r="G10" s="17"/>
      <c r="H10" s="17"/>
      <c r="I10" s="17"/>
      <c r="J10" s="17"/>
      <c r="K10" s="17"/>
      <c r="L10" s="17"/>
      <c r="M10" s="17"/>
      <c r="N10" s="17"/>
      <c r="O10" s="219"/>
    </row>
    <row r="11" spans="1:16" s="13" customFormat="1" ht="24" customHeight="1">
      <c r="A11" s="226"/>
      <c r="B11" s="227"/>
      <c r="C11" s="227"/>
      <c r="D11" s="227" t="s">
        <v>313</v>
      </c>
      <c r="E11" s="227" t="str">
        <f>'Bia-Dutoan'!E11</f>
        <v>ĐIỀU CHỈNH, BỔ SUNG, ĐƠN GIÁ XÂY DỰNG CỦA MỘT SỐ LOẠI CÔNG TRÌNH ĐỂ XÁC ĐỊNH GIÁ TRỊ BỒI
THƯỜNG ĐỐI VỚI NHÀ Ở, CÔNG TRÌNH PHẢI THÁO DỠ KHI NHÀ NƯỚC THU HỒI ĐẤT TRÊN ĐỊA BÀN TỈNH SƠN LA</v>
      </c>
      <c r="F11" s="227"/>
      <c r="G11" s="227"/>
      <c r="H11" s="227"/>
      <c r="I11" s="227"/>
      <c r="J11" s="227"/>
      <c r="K11" s="227"/>
      <c r="L11" s="227"/>
      <c r="M11" s="227"/>
      <c r="N11" s="227"/>
      <c r="O11" s="228"/>
    </row>
    <row r="12" spans="1:16" s="13" customFormat="1" ht="24" customHeight="1">
      <c r="A12" s="226"/>
      <c r="B12" s="227"/>
      <c r="C12" s="227"/>
      <c r="D12" s="227" t="s">
        <v>204</v>
      </c>
      <c r="E12" s="227" t="str">
        <f>UPPER(Ts!K4)</f>
        <v>NHÀ 01 TẦNG, TƯỜNG CHỊU LỰC 110MM, MÁI LỢP FIBRÔXIMĂNG, KHÔNG CÓ KHU VỆ SINH KHÉP KÍN</v>
      </c>
      <c r="F12" s="227"/>
      <c r="G12" s="227"/>
      <c r="H12" s="227"/>
      <c r="I12" s="227"/>
      <c r="J12" s="227"/>
      <c r="K12" s="227"/>
      <c r="L12" s="227"/>
      <c r="M12" s="227"/>
      <c r="N12" s="227"/>
      <c r="O12" s="228"/>
    </row>
    <row r="13" spans="1:16" ht="24" customHeight="1">
      <c r="A13" s="220"/>
      <c r="B13" s="221"/>
      <c r="C13" s="221"/>
      <c r="D13" s="227" t="s">
        <v>205</v>
      </c>
      <c r="E13" s="227" t="str">
        <f>E44</f>
        <v/>
      </c>
      <c r="F13" s="221"/>
      <c r="G13" s="221"/>
      <c r="H13" s="221"/>
      <c r="I13" s="221"/>
      <c r="J13" s="221"/>
      <c r="K13" s="221"/>
      <c r="L13" s="221"/>
      <c r="M13" s="221"/>
      <c r="N13" s="221"/>
      <c r="O13" s="229"/>
    </row>
    <row r="14" spans="1:16" s="13" customFormat="1" ht="24" customHeight="1">
      <c r="A14" s="226"/>
      <c r="B14" s="227"/>
      <c r="C14" s="227"/>
      <c r="D14" s="227" t="s">
        <v>206</v>
      </c>
      <c r="E14" s="227" t="str">
        <f>E45</f>
        <v/>
      </c>
      <c r="F14" s="227"/>
      <c r="G14" s="227"/>
      <c r="H14" s="227"/>
      <c r="I14" s="227"/>
      <c r="J14" s="227"/>
      <c r="K14" s="227"/>
      <c r="L14" s="227"/>
      <c r="M14" s="227"/>
      <c r="N14" s="227"/>
      <c r="O14" s="228"/>
    </row>
    <row r="15" spans="1:16" s="13" customFormat="1" ht="18.75">
      <c r="A15" s="226"/>
      <c r="B15" s="227"/>
      <c r="C15" s="227"/>
      <c r="D15" s="227"/>
      <c r="E15" s="227"/>
      <c r="F15" s="227"/>
      <c r="G15" s="227"/>
      <c r="H15" s="227"/>
      <c r="I15" s="227"/>
      <c r="J15" s="227"/>
      <c r="K15" s="227"/>
      <c r="L15" s="227"/>
      <c r="M15" s="227"/>
      <c r="N15" s="227"/>
      <c r="O15" s="228"/>
    </row>
    <row r="16" spans="1:16" s="13" customFormat="1" ht="24" customHeight="1">
      <c r="A16" s="226"/>
      <c r="B16" s="227"/>
      <c r="C16" s="227"/>
      <c r="D16" s="230" t="s">
        <v>208</v>
      </c>
      <c r="E16" s="2466">
        <f ca="1">TM!F46</f>
        <v>1956383.1441816804</v>
      </c>
      <c r="F16" s="2466"/>
      <c r="G16" s="2466"/>
      <c r="H16" s="2466"/>
      <c r="I16" s="231" t="s">
        <v>209</v>
      </c>
      <c r="J16" s="227"/>
      <c r="K16" s="227"/>
      <c r="L16" s="227"/>
      <c r="M16" s="227"/>
      <c r="N16" s="227"/>
      <c r="O16" s="228"/>
    </row>
    <row r="17" spans="1:15" ht="20.25" customHeight="1">
      <c r="A17" s="222"/>
      <c r="B17" s="17"/>
      <c r="C17" s="17"/>
      <c r="D17" s="232" t="s">
        <v>1041</v>
      </c>
      <c r="E17" s="17" t="str" cm="1">
        <f t="array" aca="1" ref="E17" ca="1">vnd(E16)</f>
        <v>Một triệu chín trăm năm mươi sáu nghìn ba trăm tám mươi ba đồng.</v>
      </c>
      <c r="F17" s="17"/>
      <c r="G17" s="17"/>
      <c r="H17" s="17"/>
      <c r="I17" s="17"/>
      <c r="J17" s="17"/>
      <c r="K17" s="17"/>
      <c r="L17" s="17"/>
      <c r="M17" s="17"/>
      <c r="N17" s="17"/>
      <c r="O17" s="233"/>
    </row>
    <row r="18" spans="1:15">
      <c r="A18" s="222"/>
      <c r="B18" s="17"/>
      <c r="C18" s="17"/>
      <c r="D18" s="17"/>
      <c r="E18" s="17"/>
      <c r="F18" s="17"/>
      <c r="G18" s="17"/>
      <c r="H18" s="17"/>
      <c r="I18" s="17"/>
      <c r="J18" s="17"/>
      <c r="K18" s="17"/>
      <c r="L18" s="17"/>
      <c r="M18" s="17"/>
      <c r="N18" s="17"/>
      <c r="O18" s="233"/>
    </row>
    <row r="19" spans="1:15" ht="12" customHeight="1">
      <c r="A19" s="222"/>
      <c r="B19" s="17"/>
      <c r="C19" s="17"/>
      <c r="D19" s="17"/>
      <c r="E19" s="17"/>
      <c r="F19" s="17"/>
      <c r="G19" s="17"/>
      <c r="H19" s="17"/>
      <c r="I19" s="17"/>
      <c r="J19" s="17"/>
      <c r="K19" s="17"/>
      <c r="L19" s="17"/>
      <c r="M19" s="17"/>
      <c r="N19" s="17"/>
      <c r="O19" s="233"/>
    </row>
    <row r="20" spans="1:15">
      <c r="A20" s="222"/>
      <c r="B20" s="17"/>
      <c r="C20" s="17"/>
      <c r="D20" s="17"/>
      <c r="E20" s="17"/>
      <c r="F20" s="17"/>
      <c r="G20" s="17"/>
      <c r="H20" s="49" t="s">
        <v>210</v>
      </c>
      <c r="I20" s="1009">
        <f>Ts!O9</f>
        <v>0</v>
      </c>
      <c r="J20" s="235"/>
      <c r="K20" s="236"/>
      <c r="L20" s="237"/>
      <c r="M20" s="236"/>
      <c r="N20" s="238"/>
      <c r="O20" s="233"/>
    </row>
    <row r="21" spans="1:15" ht="21.75" customHeight="1">
      <c r="A21" s="222"/>
      <c r="B21" s="17"/>
      <c r="C21" s="12"/>
      <c r="D21" s="101"/>
      <c r="E21" s="17"/>
      <c r="F21" s="17"/>
      <c r="G21" s="12"/>
      <c r="H21" s="17"/>
      <c r="I21" s="15" t="s">
        <v>211</v>
      </c>
      <c r="J21" s="101"/>
      <c r="K21" s="101"/>
      <c r="L21" s="101"/>
      <c r="M21" s="17"/>
      <c r="N21" s="17"/>
      <c r="O21" s="233"/>
    </row>
    <row r="22" spans="1:15" ht="18" customHeight="1">
      <c r="A22" s="222"/>
      <c r="B22" s="17"/>
      <c r="C22" s="12"/>
      <c r="D22" s="101"/>
      <c r="E22" s="17"/>
      <c r="F22" s="17"/>
      <c r="G22" s="12"/>
      <c r="H22" s="17"/>
      <c r="I22" s="101"/>
      <c r="J22" s="101"/>
      <c r="K22" s="101"/>
      <c r="L22" s="101"/>
      <c r="M22" s="17"/>
      <c r="N22" s="17"/>
      <c r="O22" s="233"/>
    </row>
    <row r="23" spans="1:15" ht="18" customHeight="1">
      <c r="A23" s="222"/>
      <c r="B23" s="17"/>
      <c r="C23" s="12"/>
      <c r="D23" s="101"/>
      <c r="E23" s="17"/>
      <c r="F23" s="17"/>
      <c r="G23" s="12"/>
      <c r="H23" s="17"/>
      <c r="I23" s="101"/>
      <c r="J23" s="101"/>
      <c r="K23" s="101"/>
      <c r="L23" s="101"/>
      <c r="M23" s="17"/>
      <c r="N23" s="17"/>
      <c r="O23" s="233"/>
    </row>
    <row r="24" spans="1:15" ht="18" customHeight="1">
      <c r="A24" s="222"/>
      <c r="B24" s="17"/>
      <c r="C24" s="101"/>
      <c r="D24" s="101"/>
      <c r="E24" s="17"/>
      <c r="F24" s="17"/>
      <c r="G24" s="101"/>
      <c r="H24" s="17"/>
      <c r="I24" s="101"/>
      <c r="J24" s="101"/>
      <c r="K24" s="101"/>
      <c r="L24" s="101"/>
      <c r="M24" s="17"/>
      <c r="N24" s="17"/>
      <c r="O24" s="233"/>
    </row>
    <row r="25" spans="1:15" ht="18" customHeight="1">
      <c r="A25" s="222"/>
      <c r="B25" s="17"/>
      <c r="C25" s="101"/>
      <c r="D25" s="101"/>
      <c r="E25" s="17"/>
      <c r="F25" s="17"/>
      <c r="G25" s="101"/>
      <c r="H25" s="17"/>
      <c r="I25" s="101"/>
      <c r="J25" s="101"/>
      <c r="K25" s="101"/>
      <c r="L25" s="101"/>
      <c r="M25" s="17"/>
      <c r="N25" s="17"/>
      <c r="O25" s="233"/>
    </row>
    <row r="26" spans="1:15" ht="18" customHeight="1">
      <c r="A26" s="222"/>
      <c r="B26" s="17"/>
      <c r="C26" s="101"/>
      <c r="D26" s="101"/>
      <c r="E26" s="17"/>
      <c r="F26" s="17"/>
      <c r="G26" s="101"/>
      <c r="H26" s="17"/>
      <c r="I26" s="101"/>
      <c r="J26" s="101"/>
      <c r="K26" s="101"/>
      <c r="L26" s="101"/>
      <c r="M26" s="17"/>
      <c r="N26" s="17"/>
      <c r="O26" s="233"/>
    </row>
    <row r="27" spans="1:15">
      <c r="A27" s="222"/>
      <c r="B27" s="17"/>
      <c r="C27" s="101"/>
      <c r="D27" s="101"/>
      <c r="E27" s="17"/>
      <c r="F27" s="17"/>
      <c r="G27" s="101"/>
      <c r="H27" s="17"/>
      <c r="I27" s="239" t="s">
        <v>212</v>
      </c>
      <c r="J27" s="101"/>
      <c r="K27" s="101"/>
      <c r="L27" s="101"/>
      <c r="M27" s="17"/>
      <c r="N27" s="17"/>
      <c r="O27" s="233"/>
    </row>
    <row r="28" spans="1:15" ht="16.5" thickBot="1">
      <c r="A28" s="240"/>
      <c r="B28" s="241"/>
      <c r="C28" s="241"/>
      <c r="D28" s="241"/>
      <c r="E28" s="241"/>
      <c r="F28" s="241"/>
      <c r="G28" s="241"/>
      <c r="H28" s="241"/>
      <c r="I28" s="241"/>
      <c r="J28" s="241"/>
      <c r="K28" s="241"/>
      <c r="L28" s="241"/>
      <c r="M28" s="241"/>
      <c r="N28" s="241"/>
      <c r="O28" s="242"/>
    </row>
    <row r="29" spans="1:15" ht="16.5" thickTop="1">
      <c r="A29" s="216"/>
      <c r="B29" s="217"/>
      <c r="C29" s="217"/>
      <c r="D29" s="217"/>
      <c r="E29" s="217"/>
      <c r="F29" s="217"/>
      <c r="G29" s="217"/>
      <c r="H29" s="217"/>
      <c r="I29" s="217"/>
      <c r="J29" s="217"/>
      <c r="K29" s="217"/>
      <c r="L29" s="217"/>
      <c r="M29" s="217"/>
      <c r="N29" s="217"/>
      <c r="O29" s="218"/>
    </row>
    <row r="30" spans="1:15" ht="18.75">
      <c r="A30" s="5" t="s">
        <v>198</v>
      </c>
      <c r="B30" s="6"/>
      <c r="C30" s="6"/>
      <c r="D30" s="8"/>
      <c r="E30" s="17"/>
      <c r="F30" s="243" t="s">
        <v>199</v>
      </c>
      <c r="G30" s="47"/>
      <c r="H30" s="47"/>
      <c r="I30" s="47"/>
      <c r="J30" s="47"/>
      <c r="K30" s="47"/>
      <c r="L30" s="47"/>
      <c r="M30" s="47"/>
      <c r="N30" s="101"/>
      <c r="O30" s="219"/>
    </row>
    <row r="31" spans="1:15" ht="18.75">
      <c r="A31" s="7" t="s">
        <v>200</v>
      </c>
      <c r="B31" s="8"/>
      <c r="C31" s="8"/>
      <c r="D31" s="8"/>
      <c r="E31" s="17"/>
      <c r="F31" s="8" t="s">
        <v>201</v>
      </c>
      <c r="G31" s="47"/>
      <c r="H31" s="47"/>
      <c r="I31" s="47"/>
      <c r="J31" s="47"/>
      <c r="K31" s="47"/>
      <c r="L31" s="47"/>
      <c r="M31" s="47"/>
      <c r="N31" s="101"/>
      <c r="O31" s="219"/>
    </row>
    <row r="32" spans="1:15" ht="18.75">
      <c r="A32" s="220"/>
      <c r="B32" s="221"/>
      <c r="C32" s="221"/>
      <c r="D32" s="221"/>
      <c r="E32" s="17"/>
      <c r="F32" s="17"/>
      <c r="G32" s="17"/>
      <c r="H32" s="17"/>
      <c r="I32" s="17"/>
      <c r="J32" s="17"/>
      <c r="K32" s="17"/>
      <c r="L32" s="17"/>
      <c r="M32" s="17"/>
      <c r="N32" s="17"/>
      <c r="O32" s="219"/>
    </row>
    <row r="33" spans="1:15" ht="18.75">
      <c r="A33" s="9"/>
      <c r="B33" s="6"/>
      <c r="C33" s="6"/>
      <c r="D33" s="221"/>
      <c r="E33" s="17"/>
      <c r="F33" s="17"/>
      <c r="G33" s="17"/>
      <c r="H33" s="17"/>
      <c r="I33" s="17"/>
      <c r="J33" s="17"/>
      <c r="K33" s="17"/>
      <c r="L33" s="17"/>
      <c r="M33" s="17"/>
      <c r="N33" s="17"/>
      <c r="O33" s="219"/>
    </row>
    <row r="34" spans="1:15">
      <c r="A34" s="222"/>
      <c r="B34" s="17"/>
      <c r="C34" s="17"/>
      <c r="D34" s="17"/>
      <c r="E34" s="17"/>
      <c r="F34" s="17"/>
      <c r="G34" s="17"/>
      <c r="H34" s="17"/>
      <c r="I34" s="17"/>
      <c r="J34" s="17"/>
      <c r="K34" s="17"/>
      <c r="L34" s="17"/>
      <c r="M34" s="17"/>
      <c r="N34" s="17"/>
      <c r="O34" s="219"/>
    </row>
    <row r="35" spans="1:15">
      <c r="A35" s="222"/>
      <c r="B35" s="17"/>
      <c r="C35" s="17"/>
      <c r="D35" s="17"/>
      <c r="E35" s="17"/>
      <c r="F35" s="17"/>
      <c r="G35" s="17"/>
      <c r="H35" s="17"/>
      <c r="I35" s="17"/>
      <c r="J35" s="17"/>
      <c r="K35" s="17"/>
      <c r="L35" s="17"/>
      <c r="M35" s="17"/>
      <c r="N35" s="17"/>
      <c r="O35" s="219"/>
    </row>
    <row r="36" spans="1:15">
      <c r="A36" s="222"/>
      <c r="B36" s="17"/>
      <c r="C36" s="17"/>
      <c r="D36" s="17"/>
      <c r="E36" s="17"/>
      <c r="F36" s="17"/>
      <c r="G36" s="17"/>
      <c r="H36" s="17"/>
      <c r="I36" s="17"/>
      <c r="J36" s="17"/>
      <c r="K36" s="17"/>
      <c r="L36" s="17"/>
      <c r="M36" s="17"/>
      <c r="N36" s="17"/>
      <c r="O36" s="219"/>
    </row>
    <row r="37" spans="1:15">
      <c r="A37" s="222"/>
      <c r="B37" s="17"/>
      <c r="C37" s="17"/>
      <c r="D37" s="17"/>
      <c r="E37" s="17"/>
      <c r="F37" s="17"/>
      <c r="G37" s="17"/>
      <c r="H37" s="17"/>
      <c r="I37" s="17"/>
      <c r="J37" s="17"/>
      <c r="K37" s="17"/>
      <c r="L37" s="17"/>
      <c r="M37" s="17"/>
      <c r="N37" s="17"/>
      <c r="O37" s="219"/>
    </row>
    <row r="38" spans="1:15">
      <c r="A38" s="222"/>
      <c r="B38" s="17"/>
      <c r="C38" s="17"/>
      <c r="D38" s="17"/>
      <c r="E38" s="17"/>
      <c r="F38" s="17"/>
      <c r="G38" s="17"/>
      <c r="H38" s="17"/>
      <c r="I38" s="17"/>
      <c r="J38" s="17"/>
      <c r="K38" s="17"/>
      <c r="L38" s="17"/>
      <c r="M38" s="17"/>
      <c r="N38" s="17"/>
      <c r="O38" s="219"/>
    </row>
    <row r="39" spans="1:15" ht="33.75" customHeight="1">
      <c r="A39" s="223" t="s">
        <v>197</v>
      </c>
      <c r="B39" s="224"/>
      <c r="C39" s="224"/>
      <c r="D39" s="224"/>
      <c r="E39" s="224"/>
      <c r="F39" s="224"/>
      <c r="G39" s="224"/>
      <c r="H39" s="224"/>
      <c r="I39" s="224"/>
      <c r="J39" s="224"/>
      <c r="K39" s="224"/>
      <c r="L39" s="224"/>
      <c r="M39" s="224"/>
      <c r="N39" s="224"/>
      <c r="O39" s="225"/>
    </row>
    <row r="40" spans="1:15" ht="32.1" customHeight="1">
      <c r="A40" s="9" t="s">
        <v>203</v>
      </c>
      <c r="B40" s="224"/>
      <c r="C40" s="224"/>
      <c r="D40" s="6"/>
      <c r="E40" s="224"/>
      <c r="F40" s="224"/>
      <c r="G40" s="224"/>
      <c r="H40" s="224"/>
      <c r="I40" s="224"/>
      <c r="J40" s="224"/>
      <c r="K40" s="224"/>
      <c r="L40" s="224"/>
      <c r="M40" s="224"/>
      <c r="N40" s="224"/>
      <c r="O40" s="225"/>
    </row>
    <row r="41" spans="1:15" ht="18" customHeight="1">
      <c r="A41" s="9"/>
      <c r="B41" s="224"/>
      <c r="C41" s="224"/>
      <c r="D41" s="6"/>
      <c r="E41" s="224"/>
      <c r="F41" s="224"/>
      <c r="G41" s="224"/>
      <c r="H41" s="224"/>
      <c r="I41" s="224"/>
      <c r="J41" s="224"/>
      <c r="K41" s="224"/>
      <c r="L41" s="224"/>
      <c r="M41" s="224"/>
      <c r="N41" s="224"/>
      <c r="O41" s="225"/>
    </row>
    <row r="42" spans="1:15" s="10" customFormat="1" ht="24" customHeight="1">
      <c r="A42" s="226"/>
      <c r="B42" s="227"/>
      <c r="C42" s="227"/>
      <c r="D42" s="227" t="s">
        <v>247</v>
      </c>
      <c r="E42" s="227" t="str">
        <f>IF(Ts!K4="","",UPPER(Ts!K4))</f>
        <v>NHÀ 01 TẦNG, TƯỜNG CHỊU LỰC 110MM, MÁI LỢP FIBRÔXIMĂNG, KHÔNG CÓ KHU VỆ SINH KHÉP KÍN</v>
      </c>
      <c r="F42" s="227"/>
      <c r="G42" s="227"/>
      <c r="H42" s="227"/>
      <c r="I42" s="227"/>
      <c r="J42" s="227"/>
      <c r="K42" s="227"/>
      <c r="L42" s="227"/>
      <c r="M42" s="227"/>
      <c r="N42" s="227"/>
      <c r="O42" s="228"/>
    </row>
    <row r="43" spans="1:15" s="10" customFormat="1" ht="24" customHeight="1">
      <c r="A43" s="226"/>
      <c r="B43" s="227"/>
      <c r="C43" s="227"/>
      <c r="D43" s="227" t="s">
        <v>248</v>
      </c>
      <c r="E43" s="227" t="str">
        <f>IF(Ts!K5="","",UPPER(Ts!K5))</f>
        <v>MẪU NO-01-110-2-TCL</v>
      </c>
      <c r="F43" s="227"/>
      <c r="G43" s="227"/>
      <c r="H43" s="227"/>
      <c r="I43" s="227"/>
      <c r="J43" s="227"/>
      <c r="K43" s="227"/>
      <c r="L43" s="227"/>
      <c r="M43" s="227"/>
      <c r="N43" s="227"/>
      <c r="O43" s="228"/>
    </row>
    <row r="44" spans="1:15" s="11" customFormat="1" ht="24" customHeight="1">
      <c r="A44" s="220"/>
      <c r="B44" s="221"/>
      <c r="C44" s="221"/>
      <c r="D44" s="227" t="s">
        <v>205</v>
      </c>
      <c r="E44" s="227" t="str">
        <f>UPPER(Ts!K6)</f>
        <v/>
      </c>
      <c r="F44" s="221"/>
      <c r="G44" s="221"/>
      <c r="H44" s="221"/>
      <c r="I44" s="221"/>
      <c r="J44" s="221"/>
      <c r="K44" s="221"/>
      <c r="L44" s="221"/>
      <c r="M44" s="221"/>
      <c r="N44" s="221"/>
      <c r="O44" s="229"/>
    </row>
    <row r="45" spans="1:15" s="10" customFormat="1" ht="24" customHeight="1">
      <c r="A45" s="226"/>
      <c r="B45" s="227"/>
      <c r="C45" s="227"/>
      <c r="D45" s="227" t="s">
        <v>206</v>
      </c>
      <c r="E45" s="227" t="str">
        <f>UPPER(Ts!K7)</f>
        <v/>
      </c>
      <c r="F45" s="227"/>
      <c r="G45" s="227"/>
      <c r="H45" s="227"/>
      <c r="I45" s="227"/>
      <c r="J45" s="227"/>
      <c r="K45" s="227"/>
      <c r="L45" s="227"/>
      <c r="M45" s="227"/>
      <c r="N45" s="227"/>
      <c r="O45" s="228"/>
    </row>
    <row r="46" spans="1:15">
      <c r="A46" s="222"/>
      <c r="B46" s="17"/>
      <c r="C46" s="17"/>
      <c r="D46" s="17"/>
      <c r="E46" s="17"/>
      <c r="F46" s="17"/>
      <c r="G46" s="17"/>
      <c r="H46" s="17"/>
      <c r="I46" s="17"/>
      <c r="J46" s="17"/>
      <c r="K46" s="17"/>
      <c r="L46" s="17"/>
      <c r="M46" s="17"/>
      <c r="N46" s="17"/>
      <c r="O46" s="233"/>
    </row>
    <row r="47" spans="1:15">
      <c r="A47" s="222"/>
      <c r="B47" s="17"/>
      <c r="C47" s="17"/>
      <c r="D47" s="17"/>
      <c r="E47" s="17"/>
      <c r="F47" s="17"/>
      <c r="G47" s="17"/>
      <c r="H47" s="17"/>
      <c r="I47" s="17"/>
      <c r="J47" s="17"/>
      <c r="K47" s="17"/>
      <c r="L47" s="17"/>
      <c r="M47" s="17"/>
      <c r="N47" s="17"/>
      <c r="O47" s="233"/>
    </row>
    <row r="48" spans="1:15">
      <c r="A48" s="222"/>
      <c r="B48" s="17"/>
      <c r="C48" s="17"/>
      <c r="D48" s="17"/>
      <c r="E48" s="17"/>
      <c r="F48" s="17"/>
      <c r="G48" s="17"/>
      <c r="H48" s="17"/>
      <c r="I48" s="17"/>
      <c r="J48" s="17"/>
      <c r="K48" s="17"/>
      <c r="L48" s="17"/>
      <c r="M48" s="17"/>
      <c r="N48" s="17"/>
      <c r="O48" s="233"/>
    </row>
    <row r="49" spans="1:15">
      <c r="A49" s="222"/>
      <c r="B49" s="244"/>
      <c r="C49" s="17"/>
      <c r="D49" s="17"/>
      <c r="E49" s="244"/>
      <c r="F49" s="17"/>
      <c r="G49" s="17"/>
      <c r="H49" s="244"/>
      <c r="I49" s="17"/>
      <c r="J49" s="244"/>
      <c r="K49" s="17"/>
      <c r="L49" s="17"/>
      <c r="M49" s="17"/>
      <c r="N49" s="17"/>
      <c r="O49" s="233"/>
    </row>
    <row r="50" spans="1:15">
      <c r="A50" s="222"/>
      <c r="B50" s="17"/>
      <c r="C50" s="17"/>
      <c r="D50" s="17"/>
      <c r="E50" s="17"/>
      <c r="F50" s="17"/>
      <c r="G50" s="17"/>
      <c r="H50" s="17"/>
      <c r="I50" s="17"/>
      <c r="J50" s="17"/>
      <c r="K50" s="17"/>
      <c r="L50" s="17"/>
      <c r="M50" s="17"/>
      <c r="N50" s="17"/>
      <c r="O50" s="233"/>
    </row>
    <row r="51" spans="1:15">
      <c r="A51" s="222"/>
      <c r="B51" s="17"/>
      <c r="C51" s="17"/>
      <c r="D51" s="17"/>
      <c r="E51" s="17"/>
      <c r="F51" s="17"/>
      <c r="G51" s="17"/>
      <c r="H51" s="49"/>
      <c r="I51" s="234"/>
      <c r="J51" s="235"/>
      <c r="K51" s="236"/>
      <c r="L51" s="237"/>
      <c r="M51" s="236"/>
      <c r="N51" s="238"/>
      <c r="O51" s="233"/>
    </row>
    <row r="52" spans="1:15">
      <c r="A52" s="222"/>
      <c r="B52" s="17"/>
      <c r="C52" s="17"/>
      <c r="D52" s="17"/>
      <c r="E52" s="17"/>
      <c r="F52" s="17"/>
      <c r="G52" s="17"/>
      <c r="H52" s="17"/>
      <c r="I52" s="17"/>
      <c r="J52" s="17"/>
      <c r="K52" s="17"/>
      <c r="L52" s="17"/>
      <c r="M52" s="17"/>
      <c r="N52" s="17"/>
      <c r="O52" s="233"/>
    </row>
    <row r="53" spans="1:15">
      <c r="A53" s="222"/>
      <c r="B53" s="17"/>
      <c r="C53" s="12"/>
      <c r="D53" s="101"/>
      <c r="E53" s="17"/>
      <c r="F53" s="17"/>
      <c r="G53" s="12"/>
      <c r="H53" s="17"/>
      <c r="I53" s="12"/>
      <c r="J53" s="101"/>
      <c r="K53" s="101"/>
      <c r="L53" s="101"/>
      <c r="M53" s="17"/>
      <c r="N53" s="17"/>
      <c r="O53" s="233"/>
    </row>
    <row r="54" spans="1:15" ht="18" customHeight="1">
      <c r="A54" s="222"/>
      <c r="B54" s="17"/>
      <c r="C54" s="12"/>
      <c r="D54" s="101"/>
      <c r="E54" s="17"/>
      <c r="F54" s="17"/>
      <c r="G54" s="12"/>
      <c r="H54" s="17"/>
      <c r="I54" s="101"/>
      <c r="J54" s="101"/>
      <c r="K54" s="101"/>
      <c r="L54" s="101"/>
      <c r="M54" s="17"/>
      <c r="N54" s="17"/>
      <c r="O54" s="233"/>
    </row>
    <row r="55" spans="1:15" ht="18" customHeight="1">
      <c r="A55" s="222"/>
      <c r="B55" s="17"/>
      <c r="C55" s="12"/>
      <c r="D55" s="101"/>
      <c r="E55" s="17"/>
      <c r="F55" s="17"/>
      <c r="G55" s="12"/>
      <c r="H55" s="17"/>
      <c r="I55" s="101"/>
      <c r="J55" s="101"/>
      <c r="K55" s="101"/>
      <c r="L55" s="101"/>
      <c r="M55" s="17"/>
      <c r="N55" s="17"/>
      <c r="O55" s="233"/>
    </row>
    <row r="56" spans="1:15" ht="16.5" thickBot="1">
      <c r="A56" s="240"/>
      <c r="B56" s="241"/>
      <c r="C56" s="241"/>
      <c r="D56" s="241"/>
      <c r="E56" s="241"/>
      <c r="F56" s="241"/>
      <c r="G56" s="241"/>
      <c r="H56" s="241"/>
      <c r="I56" s="241"/>
      <c r="J56" s="241"/>
      <c r="K56" s="241"/>
      <c r="L56" s="241"/>
      <c r="M56" s="241"/>
      <c r="N56" s="241"/>
      <c r="O56" s="242"/>
    </row>
    <row r="57" spans="1:15" ht="16.5" thickTop="1">
      <c r="A57" s="17"/>
      <c r="B57" s="17"/>
      <c r="C57" s="17"/>
      <c r="D57" s="17"/>
      <c r="E57" s="17"/>
      <c r="F57" s="17"/>
      <c r="G57" s="17"/>
      <c r="H57" s="17"/>
      <c r="I57" s="17"/>
      <c r="J57" s="17"/>
      <c r="K57" s="17"/>
      <c r="L57" s="17"/>
      <c r="M57" s="17"/>
      <c r="N57" s="17"/>
      <c r="O57" s="17"/>
    </row>
  </sheetData>
  <mergeCells count="1">
    <mergeCell ref="E16:H16"/>
  </mergeCells>
  <phoneticPr fontId="88" type="noConversion"/>
  <dataValidations count="1">
    <dataValidation allowBlank="1" showInputMessage="1" showErrorMessage="1" prompt="Có thể gõ tên công trình vào đây" sqref="E42:E43"/>
  </dataValidations>
  <hyperlinks>
    <hyperlink ref="F30" location="ML!A1" tooltip="Về mục lục" display="CỘNG HOÀ XÃ HỘI CHỦ NGHĨA VIỆT NAM"/>
  </hyperlinks>
  <printOptions horizontalCentered="1"/>
  <pageMargins left="0.75" right="0.2" top="0.5" bottom="0.5" header="0.25" footer="0.25"/>
  <pageSetup paperSize="9" orientation="landscape" blackAndWhite="1" horizontalDpi="300" verticalDpi="300"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0000FF"/>
  </sheetPr>
  <dimension ref="A1:P54"/>
  <sheetViews>
    <sheetView zoomScaleSheetLayoutView="90" workbookViewId="0">
      <selection activeCell="D7" sqref="D7"/>
    </sheetView>
  </sheetViews>
  <sheetFormatPr defaultColWidth="9" defaultRowHeight="15.75"/>
  <cols>
    <col min="1" max="1" width="4.42578125" style="844" customWidth="1"/>
    <col min="2" max="2" width="8.5703125" style="844" customWidth="1"/>
    <col min="3" max="4" width="3.5703125" style="17" customWidth="1"/>
    <col min="5" max="5" width="16.5703125" style="23" customWidth="1"/>
    <col min="6" max="6" width="12.5703125" style="23" customWidth="1"/>
    <col min="7" max="7" width="14.42578125" style="23" customWidth="1"/>
    <col min="8" max="8" width="10.140625" style="23" customWidth="1"/>
    <col min="9" max="15" width="10.140625" style="17" customWidth="1"/>
    <col min="16" max="16384" width="9" style="17"/>
  </cols>
  <sheetData>
    <row r="1" spans="1:16" ht="21" customHeight="1">
      <c r="C1" s="258" t="s">
        <v>213</v>
      </c>
      <c r="D1" s="258"/>
      <c r="E1" s="16"/>
      <c r="F1" s="16"/>
      <c r="G1" s="16"/>
      <c r="H1" s="16"/>
      <c r="I1" s="16"/>
      <c r="J1" s="16"/>
      <c r="K1" s="16"/>
      <c r="L1" s="16"/>
      <c r="M1" s="16"/>
      <c r="N1" s="16"/>
      <c r="O1" s="16"/>
    </row>
    <row r="2" spans="1:16" ht="22.15" customHeight="1">
      <c r="C2" s="105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D2" s="3"/>
      <c r="E2" s="18"/>
      <c r="F2" s="18"/>
      <c r="G2" s="18"/>
      <c r="H2" s="18"/>
      <c r="I2" s="18"/>
      <c r="J2" s="18"/>
      <c r="K2" s="18"/>
      <c r="L2" s="18"/>
      <c r="M2" s="18"/>
      <c r="N2" s="18"/>
      <c r="O2" s="18"/>
    </row>
    <row r="3" spans="1:16" ht="22.15" customHeight="1">
      <c r="C3" s="1059" t="str">
        <f>'Bia-Dutoan'!D43&amp;'Bia-Dutoan'!E43</f>
        <v>CÔNG TRÌNH: NHÀ 01 TẦNG, TƯỜNG CHỊU LỰC 110MM, MÁI LỢP FIBRÔXIMĂNG, KHÔNG CÓ KHU VỆ SINH KHÉP KÍN</v>
      </c>
      <c r="D3" s="3"/>
      <c r="E3" s="3"/>
      <c r="F3" s="3"/>
      <c r="G3" s="3"/>
      <c r="H3" s="3"/>
      <c r="I3" s="3"/>
      <c r="J3" s="3"/>
      <c r="K3" s="3"/>
      <c r="L3" s="3"/>
      <c r="M3" s="3"/>
      <c r="N3" s="3"/>
      <c r="O3" s="3"/>
    </row>
    <row r="4" spans="1:16" ht="16.5">
      <c r="C4" s="19"/>
      <c r="D4" s="19"/>
      <c r="E4" s="19"/>
      <c r="F4" s="19"/>
      <c r="G4" s="19"/>
      <c r="H4" s="19"/>
    </row>
    <row r="5" spans="1:16" ht="26.25" customHeight="1">
      <c r="B5" s="845" t="s">
        <v>252</v>
      </c>
      <c r="C5" s="53" t="s">
        <v>1043</v>
      </c>
      <c r="D5" s="53"/>
      <c r="E5" s="20"/>
      <c r="F5" s="17"/>
      <c r="G5" s="17"/>
      <c r="H5" s="17"/>
    </row>
    <row r="6" spans="1:16" s="22" customFormat="1" ht="18.75" customHeight="1">
      <c r="A6" s="846"/>
      <c r="B6" s="846"/>
      <c r="C6" s="53" t="s">
        <v>214</v>
      </c>
      <c r="D6" s="53"/>
      <c r="E6" s="21"/>
      <c r="F6" s="21"/>
      <c r="G6" s="21"/>
      <c r="H6" s="21"/>
      <c r="P6" s="17"/>
    </row>
    <row r="7" spans="1:16" s="22" customFormat="1" ht="18" customHeight="1">
      <c r="A7" s="846"/>
      <c r="B7" s="846"/>
      <c r="C7" s="17"/>
      <c r="D7" s="1314" t="s">
        <v>943</v>
      </c>
      <c r="E7" s="17"/>
      <c r="F7" s="17"/>
      <c r="G7" s="17"/>
      <c r="H7" s="17"/>
      <c r="I7" s="17"/>
      <c r="J7" s="17"/>
      <c r="K7" s="17"/>
      <c r="L7" s="17"/>
      <c r="M7" s="17"/>
      <c r="P7" s="17"/>
    </row>
    <row r="8" spans="1:16" s="22" customFormat="1" ht="31.5" customHeight="1">
      <c r="A8" s="846"/>
      <c r="B8" s="846"/>
      <c r="C8" s="17"/>
      <c r="D8" s="2469" t="s">
        <v>944</v>
      </c>
      <c r="E8" s="2469"/>
      <c r="F8" s="2469"/>
      <c r="G8" s="2469"/>
      <c r="H8" s="2469"/>
      <c r="I8" s="2469"/>
      <c r="J8" s="2469"/>
      <c r="K8" s="2469"/>
      <c r="L8" s="2469"/>
      <c r="M8" s="2469"/>
      <c r="N8" s="2469"/>
      <c r="O8" s="2469"/>
      <c r="P8" s="17"/>
    </row>
    <row r="9" spans="1:16" s="22" customFormat="1" ht="31.5" customHeight="1">
      <c r="A9" s="846"/>
      <c r="B9" s="846"/>
      <c r="C9" s="17"/>
      <c r="D9" s="2469" t="s">
        <v>946</v>
      </c>
      <c r="E9" s="2469"/>
      <c r="F9" s="2469"/>
      <c r="G9" s="2469"/>
      <c r="H9" s="2469"/>
      <c r="I9" s="2469"/>
      <c r="J9" s="2469"/>
      <c r="K9" s="2469"/>
      <c r="L9" s="2469"/>
      <c r="M9" s="2469"/>
      <c r="N9" s="2469"/>
      <c r="O9" s="2469"/>
      <c r="P9" s="17"/>
    </row>
    <row r="10" spans="1:16" s="22" customFormat="1">
      <c r="A10" s="846"/>
      <c r="B10" s="846"/>
      <c r="D10" s="204"/>
      <c r="E10" s="204"/>
      <c r="F10" s="204"/>
      <c r="G10" s="204"/>
      <c r="H10" s="204"/>
      <c r="I10" s="204"/>
      <c r="J10" s="204"/>
      <c r="K10" s="204"/>
      <c r="L10" s="204"/>
      <c r="M10" s="204"/>
      <c r="N10" s="204"/>
      <c r="O10" s="204"/>
    </row>
    <row r="11" spans="1:16" s="22" customFormat="1" ht="18" customHeight="1">
      <c r="A11" s="846"/>
      <c r="B11" s="846"/>
      <c r="C11" s="53" t="s">
        <v>498</v>
      </c>
      <c r="D11" s="53"/>
      <c r="E11" s="17"/>
      <c r="F11" s="17"/>
      <c r="G11" s="17"/>
      <c r="H11" s="17"/>
    </row>
    <row r="12" spans="1:16" s="22" customFormat="1" ht="18" customHeight="1">
      <c r="A12" s="846"/>
      <c r="B12" s="846"/>
      <c r="C12" s="17"/>
      <c r="D12" s="1314" t="s">
        <v>945</v>
      </c>
      <c r="E12" s="17"/>
      <c r="F12" s="17"/>
      <c r="G12" s="17"/>
      <c r="H12" s="17"/>
    </row>
    <row r="13" spans="1:16" s="22" customFormat="1">
      <c r="A13" s="846"/>
      <c r="B13" s="846"/>
      <c r="C13" s="17"/>
      <c r="D13" s="53"/>
      <c r="E13" s="21"/>
      <c r="F13" s="21"/>
      <c r="G13" s="21"/>
      <c r="H13" s="21"/>
    </row>
    <row r="14" spans="1:16" s="22" customFormat="1" ht="18.75" customHeight="1">
      <c r="A14" s="846"/>
      <c r="B14" s="846"/>
      <c r="C14" s="53" t="s">
        <v>215</v>
      </c>
      <c r="D14" s="53"/>
      <c r="E14" s="17"/>
      <c r="F14" s="17"/>
      <c r="G14" s="17"/>
      <c r="H14" s="17"/>
    </row>
    <row r="15" spans="1:16" s="22" customFormat="1" ht="18" customHeight="1">
      <c r="A15" s="846"/>
      <c r="B15" s="846"/>
      <c r="C15" s="17"/>
      <c r="D15" s="204" t="s">
        <v>544</v>
      </c>
      <c r="E15" s="17"/>
      <c r="F15" s="17"/>
      <c r="G15" s="17"/>
      <c r="H15" s="17"/>
    </row>
    <row r="16" spans="1:16" s="22" customFormat="1" ht="18" customHeight="1">
      <c r="A16" s="846"/>
      <c r="B16" s="846"/>
      <c r="C16" s="17"/>
      <c r="D16" s="204" t="s">
        <v>545</v>
      </c>
      <c r="E16" s="17"/>
      <c r="F16" s="17"/>
      <c r="G16" s="17"/>
      <c r="H16" s="17"/>
    </row>
    <row r="17" spans="1:13" s="22" customFormat="1">
      <c r="A17" s="846"/>
      <c r="B17" s="846"/>
      <c r="C17" s="17"/>
      <c r="D17" s="17"/>
      <c r="E17" s="743"/>
      <c r="F17" s="743"/>
      <c r="G17" s="743"/>
      <c r="H17" s="743"/>
    </row>
    <row r="18" spans="1:13" s="22" customFormat="1" ht="18.75" customHeight="1">
      <c r="A18" s="846"/>
      <c r="B18" s="846"/>
      <c r="C18" s="53" t="s">
        <v>499</v>
      </c>
      <c r="D18" s="53"/>
      <c r="E18" s="17"/>
      <c r="F18" s="17"/>
      <c r="G18" s="17"/>
      <c r="H18" s="17"/>
    </row>
    <row r="19" spans="1:13" s="22" customFormat="1" ht="18" customHeight="1">
      <c r="A19" s="846"/>
      <c r="B19" s="846"/>
      <c r="C19" s="17"/>
      <c r="D19" s="204" t="s">
        <v>546</v>
      </c>
      <c r="E19" s="17"/>
      <c r="F19" s="17"/>
      <c r="G19" s="17"/>
      <c r="H19" s="17"/>
    </row>
    <row r="20" spans="1:13" s="22" customFormat="1" ht="18" customHeight="1">
      <c r="A20" s="846"/>
      <c r="B20" s="846"/>
      <c r="C20" s="17"/>
      <c r="D20" s="204" t="s">
        <v>547</v>
      </c>
      <c r="E20" s="17"/>
      <c r="F20" s="17"/>
      <c r="G20" s="17"/>
      <c r="H20" s="17"/>
      <c r="I20" s="1"/>
    </row>
    <row r="21" spans="1:13" s="22" customFormat="1" ht="18" customHeight="1">
      <c r="A21" s="846"/>
      <c r="B21" s="846"/>
      <c r="C21" s="17"/>
      <c r="D21" s="204" t="s">
        <v>548</v>
      </c>
      <c r="E21" s="1"/>
      <c r="F21" s="1"/>
      <c r="G21" s="1"/>
      <c r="H21" s="1"/>
      <c r="I21" s="1"/>
    </row>
    <row r="22" spans="1:13">
      <c r="E22" s="743"/>
      <c r="F22" s="743"/>
      <c r="G22" s="743"/>
      <c r="H22" s="743"/>
      <c r="I22" s="22"/>
      <c r="J22" s="22"/>
      <c r="K22" s="22"/>
      <c r="L22" s="22"/>
      <c r="M22" s="22"/>
    </row>
    <row r="23" spans="1:13" ht="21.95" customHeight="1">
      <c r="C23" s="53" t="s">
        <v>500</v>
      </c>
      <c r="D23" s="53"/>
      <c r="E23" s="17"/>
      <c r="F23" s="17"/>
      <c r="G23" s="17"/>
      <c r="H23" s="17"/>
      <c r="I23" s="22"/>
      <c r="J23" s="22"/>
      <c r="K23" s="22"/>
      <c r="L23" s="22"/>
      <c r="M23" s="22"/>
    </row>
    <row r="24" spans="1:13" ht="18" customHeight="1">
      <c r="D24" s="204" t="s">
        <v>947</v>
      </c>
      <c r="E24" s="17"/>
      <c r="F24" s="17"/>
      <c r="G24" s="17"/>
      <c r="H24" s="17"/>
      <c r="I24" s="22"/>
      <c r="J24" s="22"/>
      <c r="K24" s="22"/>
      <c r="L24" s="22"/>
      <c r="M24" s="22"/>
    </row>
    <row r="25" spans="1:13">
      <c r="E25" s="17"/>
      <c r="F25" s="17"/>
      <c r="G25" s="17"/>
      <c r="H25" s="17"/>
      <c r="I25" s="22"/>
      <c r="J25" s="22"/>
      <c r="K25" s="22"/>
      <c r="L25" s="22"/>
      <c r="M25" s="22"/>
    </row>
    <row r="26" spans="1:13" ht="21.95" customHeight="1">
      <c r="C26" s="53" t="s">
        <v>501</v>
      </c>
      <c r="D26" s="53"/>
      <c r="E26" s="17"/>
      <c r="F26" s="17"/>
      <c r="G26" s="17"/>
      <c r="H26" s="17"/>
      <c r="I26" s="22"/>
      <c r="J26" s="22"/>
      <c r="K26" s="22"/>
      <c r="L26" s="22"/>
      <c r="M26" s="22"/>
    </row>
    <row r="27" spans="1:13" ht="18" customHeight="1">
      <c r="D27" s="204" t="s">
        <v>549</v>
      </c>
      <c r="E27" s="1"/>
      <c r="F27" s="1"/>
      <c r="G27" s="1"/>
      <c r="H27" s="1"/>
      <c r="I27" s="22"/>
      <c r="J27" s="22"/>
      <c r="K27" s="22"/>
      <c r="L27" s="22"/>
      <c r="M27" s="22"/>
    </row>
    <row r="28" spans="1:13" ht="18" customHeight="1">
      <c r="D28" s="204" t="s">
        <v>550</v>
      </c>
      <c r="E28" s="1"/>
      <c r="F28" s="1"/>
      <c r="G28" s="1"/>
      <c r="H28" s="1"/>
      <c r="I28" s="22"/>
      <c r="J28" s="22"/>
      <c r="K28" s="22"/>
      <c r="L28" s="22"/>
      <c r="M28" s="22"/>
    </row>
    <row r="29" spans="1:13" ht="18" customHeight="1">
      <c r="D29" s="204" t="s">
        <v>779</v>
      </c>
      <c r="E29" s="1"/>
      <c r="F29" s="1"/>
      <c r="G29" s="1"/>
      <c r="H29" s="1"/>
      <c r="I29" s="22"/>
      <c r="J29" s="22"/>
      <c r="K29" s="22"/>
      <c r="L29" s="22"/>
      <c r="M29" s="22"/>
    </row>
    <row r="30" spans="1:13">
      <c r="E30" s="872"/>
      <c r="F30" s="743"/>
      <c r="G30" s="743"/>
      <c r="H30" s="743"/>
      <c r="I30" s="22"/>
      <c r="J30" s="22"/>
      <c r="K30" s="22"/>
      <c r="L30" s="22"/>
      <c r="M30" s="22"/>
    </row>
    <row r="31" spans="1:13">
      <c r="C31" s="53" t="s">
        <v>537</v>
      </c>
      <c r="D31" s="53"/>
      <c r="E31" s="17"/>
      <c r="F31" s="17"/>
      <c r="G31" s="17"/>
      <c r="H31" s="17"/>
      <c r="I31" s="22"/>
      <c r="J31" s="22"/>
      <c r="K31" s="22" t="s">
        <v>781</v>
      </c>
      <c r="L31" s="22"/>
      <c r="M31" s="22"/>
    </row>
    <row r="32" spans="1:13">
      <c r="D32" s="204" t="s">
        <v>551</v>
      </c>
      <c r="E32" s="17"/>
      <c r="F32" s="17"/>
      <c r="G32" s="17"/>
      <c r="H32" s="17"/>
      <c r="I32" s="22"/>
      <c r="J32" s="22"/>
      <c r="K32" s="22"/>
      <c r="L32" s="22"/>
      <c r="M32" s="22"/>
    </row>
    <row r="33" spans="1:13">
      <c r="C33" s="53"/>
      <c r="D33" s="53"/>
      <c r="E33" s="21"/>
      <c r="F33" s="21"/>
      <c r="G33" s="21"/>
      <c r="H33" s="21"/>
      <c r="I33" s="22"/>
      <c r="J33" s="22"/>
      <c r="K33" s="22"/>
      <c r="L33" s="22"/>
      <c r="M33" s="22"/>
    </row>
    <row r="34" spans="1:13">
      <c r="C34" s="53" t="s">
        <v>538</v>
      </c>
      <c r="D34" s="53"/>
      <c r="E34" s="17"/>
      <c r="F34" s="17"/>
      <c r="G34" s="17"/>
      <c r="H34" s="17"/>
      <c r="I34" s="22"/>
      <c r="J34" s="22"/>
      <c r="K34" s="22"/>
      <c r="L34" s="22"/>
      <c r="M34" s="22"/>
    </row>
    <row r="35" spans="1:13">
      <c r="D35" s="204" t="s">
        <v>780</v>
      </c>
      <c r="E35" s="17"/>
      <c r="F35" s="17"/>
      <c r="G35" s="17"/>
      <c r="H35" s="17"/>
      <c r="I35" s="22"/>
      <c r="J35" s="22"/>
      <c r="K35" s="22"/>
      <c r="L35" s="22"/>
      <c r="M35" s="22"/>
    </row>
    <row r="36" spans="1:13">
      <c r="D36" s="204" t="s">
        <v>557</v>
      </c>
      <c r="E36" s="17"/>
      <c r="F36" s="17"/>
      <c r="G36" s="17"/>
      <c r="H36" s="17"/>
      <c r="I36" s="22"/>
      <c r="J36" s="22"/>
      <c r="K36" s="22"/>
      <c r="L36" s="22"/>
      <c r="M36" s="22"/>
    </row>
    <row r="37" spans="1:13">
      <c r="D37" s="204"/>
      <c r="E37" s="17"/>
      <c r="F37" s="17"/>
      <c r="G37" s="17"/>
      <c r="H37" s="17"/>
      <c r="I37" s="22"/>
      <c r="J37" s="22"/>
      <c r="K37" s="22"/>
      <c r="L37" s="22"/>
      <c r="M37" s="22"/>
    </row>
    <row r="38" spans="1:13">
      <c r="C38" s="53" t="s">
        <v>539</v>
      </c>
      <c r="D38" s="53"/>
      <c r="E38" s="17"/>
      <c r="F38" s="17"/>
      <c r="G38" s="17"/>
      <c r="H38" s="17"/>
      <c r="I38" s="22"/>
      <c r="J38" s="22"/>
      <c r="K38" s="22"/>
      <c r="L38" s="22"/>
      <c r="M38" s="22"/>
    </row>
    <row r="39" spans="1:13">
      <c r="D39" s="204" t="s">
        <v>552</v>
      </c>
      <c r="E39" s="17"/>
      <c r="F39" s="17"/>
      <c r="G39" s="17"/>
      <c r="H39" s="17"/>
      <c r="I39" s="22"/>
      <c r="J39" s="22"/>
      <c r="K39" s="22"/>
      <c r="L39" s="22"/>
      <c r="M39" s="22"/>
    </row>
    <row r="40" spans="1:13" ht="21.95" customHeight="1">
      <c r="D40" s="204" t="s">
        <v>553</v>
      </c>
      <c r="E40" s="17"/>
      <c r="F40" s="17"/>
      <c r="G40" s="17"/>
      <c r="H40" s="17"/>
      <c r="I40" s="22"/>
      <c r="J40" s="22"/>
      <c r="K40" s="22"/>
      <c r="L40" s="22"/>
      <c r="M40" s="22"/>
    </row>
    <row r="41" spans="1:13" ht="18" customHeight="1">
      <c r="D41" s="204" t="s">
        <v>554</v>
      </c>
      <c r="E41" s="17"/>
      <c r="F41" s="17"/>
      <c r="G41" s="17"/>
      <c r="H41" s="17"/>
      <c r="I41" s="22"/>
      <c r="J41" s="22"/>
      <c r="K41" s="22"/>
      <c r="L41" s="22"/>
      <c r="M41" s="22"/>
    </row>
    <row r="42" spans="1:13" ht="18" customHeight="1">
      <c r="D42" s="204" t="s">
        <v>555</v>
      </c>
      <c r="E42" s="17"/>
      <c r="F42" s="17"/>
      <c r="G42" s="17"/>
      <c r="H42" s="17"/>
      <c r="I42" s="22"/>
      <c r="J42" s="22"/>
      <c r="K42" s="22"/>
      <c r="L42" s="22"/>
      <c r="M42" s="22"/>
    </row>
    <row r="43" spans="1:13" ht="18" customHeight="1">
      <c r="D43" s="204" t="s">
        <v>556</v>
      </c>
      <c r="E43" s="17"/>
      <c r="F43" s="17"/>
      <c r="G43" s="17"/>
      <c r="H43" s="17"/>
      <c r="I43" s="22"/>
      <c r="J43" s="22"/>
      <c r="K43" s="22"/>
      <c r="L43" s="22"/>
      <c r="M43" s="22"/>
    </row>
    <row r="44" spans="1:13" ht="18" customHeight="1">
      <c r="E44" s="1"/>
      <c r="F44" s="1"/>
      <c r="G44" s="1"/>
      <c r="H44" s="1"/>
      <c r="I44" s="1"/>
      <c r="J44" s="22"/>
      <c r="K44" s="22"/>
      <c r="L44" s="22"/>
      <c r="M44" s="22"/>
    </row>
    <row r="45" spans="1:13" ht="18" customHeight="1">
      <c r="C45" s="53" t="s">
        <v>1044</v>
      </c>
      <c r="E45" s="1"/>
      <c r="F45" s="1"/>
      <c r="G45" s="1"/>
      <c r="H45" s="1"/>
      <c r="I45" s="1"/>
      <c r="J45" s="22"/>
      <c r="K45" s="22"/>
      <c r="L45" s="22"/>
      <c r="M45" s="22"/>
    </row>
    <row r="46" spans="1:13" ht="19.5">
      <c r="C46" s="526"/>
      <c r="D46" s="526"/>
      <c r="E46" s="199" t="s">
        <v>251</v>
      </c>
      <c r="F46" s="2467">
        <f ca="1">IF('TH DTXD'!H24&gt;0,'TH DTXD'!H34,'THCP xay dung'!D26)</f>
        <v>1956383.1441816804</v>
      </c>
      <c r="G46" s="2468"/>
      <c r="H46" s="154" t="s">
        <v>209</v>
      </c>
    </row>
    <row r="47" spans="1:13" s="22" customFormat="1" ht="21.95" customHeight="1">
      <c r="A47" s="846"/>
      <c r="B47" s="846"/>
      <c r="C47" s="17"/>
      <c r="D47" s="17"/>
      <c r="E47" s="199" t="s">
        <v>1041</v>
      </c>
      <c r="F47" s="1331" t="str">
        <f ca="1">vnd(F46)</f>
        <v>Một triệu chín trăm năm mươi sáu nghìn ba trăm tám mươi ba đồng.</v>
      </c>
      <c r="G47" s="178"/>
      <c r="H47" s="154"/>
    </row>
    <row r="48" spans="1:13" s="24" customFormat="1" ht="21.95" customHeight="1">
      <c r="A48" s="847"/>
      <c r="B48" s="847"/>
      <c r="C48" s="17"/>
      <c r="D48" s="17"/>
      <c r="E48" s="14"/>
      <c r="F48" s="23"/>
      <c r="G48" s="23"/>
      <c r="H48" s="23"/>
    </row>
    <row r="49" spans="1:15" s="22" customFormat="1" ht="21.95" customHeight="1">
      <c r="A49" s="846"/>
      <c r="B49" s="846"/>
      <c r="C49" s="391"/>
      <c r="D49" s="12" t="s">
        <v>51</v>
      </c>
      <c r="E49" s="47"/>
      <c r="F49" s="47"/>
      <c r="G49" s="12"/>
      <c r="H49" s="92"/>
      <c r="I49" s="92"/>
      <c r="J49" s="46" t="s">
        <v>52</v>
      </c>
      <c r="K49" s="92"/>
      <c r="L49" s="756"/>
      <c r="M49" s="46"/>
      <c r="N49" s="92"/>
      <c r="O49" s="92"/>
    </row>
    <row r="50" spans="1:15" s="22" customFormat="1" ht="21.95" customHeight="1">
      <c r="A50" s="846"/>
      <c r="B50" s="846"/>
      <c r="C50" s="391"/>
      <c r="D50" s="44"/>
      <c r="E50" s="43"/>
      <c r="F50" s="43"/>
      <c r="G50" s="44"/>
      <c r="K50" s="818"/>
      <c r="L50" s="756"/>
      <c r="M50" s="46"/>
    </row>
    <row r="51" spans="1:15">
      <c r="C51" s="391"/>
      <c r="D51" s="44"/>
      <c r="E51" s="43"/>
      <c r="F51" s="43"/>
      <c r="G51" s="44"/>
      <c r="K51" s="818"/>
      <c r="L51" s="756"/>
      <c r="M51" s="46"/>
    </row>
    <row r="52" spans="1:15">
      <c r="C52" s="391"/>
      <c r="D52" s="44"/>
      <c r="E52" s="43"/>
      <c r="F52" s="43"/>
      <c r="G52" s="44"/>
      <c r="K52" s="45"/>
      <c r="L52" s="45"/>
      <c r="M52" s="45"/>
    </row>
    <row r="53" spans="1:15">
      <c r="C53" s="391"/>
      <c r="D53" s="44"/>
      <c r="E53" s="43"/>
      <c r="F53" s="43"/>
      <c r="G53" s="44"/>
      <c r="K53" s="47"/>
      <c r="L53" s="46"/>
      <c r="M53" s="46"/>
    </row>
    <row r="54" spans="1:15">
      <c r="D54" s="12" t="s">
        <v>1042</v>
      </c>
      <c r="E54" s="47"/>
      <c r="F54" s="47"/>
      <c r="G54" s="12"/>
      <c r="H54" s="92"/>
      <c r="I54" s="92"/>
      <c r="J54" s="46" t="s">
        <v>341</v>
      </c>
      <c r="K54" s="92"/>
      <c r="L54" s="756"/>
      <c r="M54" s="46"/>
      <c r="N54" s="92"/>
      <c r="O54" s="92"/>
    </row>
  </sheetData>
  <mergeCells count="3">
    <mergeCell ref="F46:G46"/>
    <mergeCell ref="D8:O8"/>
    <mergeCell ref="D9:O9"/>
  </mergeCells>
  <phoneticPr fontId="60" type="noConversion"/>
  <hyperlinks>
    <hyperlink ref="D7" r:id="rId1"/>
    <hyperlink ref="D12" r:id="rId2"/>
    <hyperlink ref="D8:O8" r:id="rId3" display="- Thông tư số 11/2021/TT-BXD ngày 31/08/2021 của Bộ Xây dựng Quy định chi tiết một số nội dung về xác định và quản lý chi phí đầu tư xây dựng"/>
    <hyperlink ref="D9:O9" r:id="rId4" display="- Thông tư số 13/2021/TT-BXD ngày 31/08/2021 của Bộ Xây dựng Hướng dẫn phương pháp xác định các chỉ tiêu kinh tế kỹ thuật và đo bóc khối lượng công trình."/>
  </hyperlinks>
  <printOptions horizontalCentered="1"/>
  <pageMargins left="0.59055118110236227" right="0.19685039370078741" top="0.39370078740157483" bottom="0.39370078740157483" header="0.19685039370078741" footer="0.19685039370078741"/>
  <pageSetup paperSize="9" orientation="landscape" blackAndWhite="1" horizontalDpi="300" verticalDpi="300" r:id="rId5"/>
  <headerFooter>
    <oddFooter>&amp;C&amp;P</oddFooter>
  </headerFooter>
  <ignoredErrors>
    <ignoredError sqref="C2:C3" unlockedFormula="1"/>
  </ignoredErrors>
  <legacyDrawing r:id="rId6"/>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4"/>
  <dimension ref="A1:AA103"/>
  <sheetViews>
    <sheetView zoomScaleNormal="100" zoomScaleSheetLayoutView="100" workbookViewId="0">
      <selection activeCell="L7" sqref="L7"/>
    </sheetView>
  </sheetViews>
  <sheetFormatPr defaultColWidth="9.140625" defaultRowHeight="15"/>
  <cols>
    <col min="1" max="1" width="6" style="824" customWidth="1"/>
    <col min="2" max="2" width="10" style="822" customWidth="1"/>
    <col min="3" max="3" width="4.42578125" style="349" customWidth="1"/>
    <col min="4" max="6" width="9.42578125" style="349" customWidth="1"/>
    <col min="7" max="7" width="5.85546875" style="349" customWidth="1"/>
    <col min="8" max="15" width="6.5703125" style="349" customWidth="1"/>
    <col min="16" max="16" width="9.140625" style="349"/>
    <col min="17" max="17" width="9.85546875" style="349" customWidth="1"/>
    <col min="18" max="18" width="23.5703125" style="349" customWidth="1"/>
    <col min="19" max="19" width="10" style="349" customWidth="1"/>
    <col min="20" max="21" width="9.140625" style="349" customWidth="1"/>
    <col min="22" max="22" width="12.5703125" style="349" customWidth="1"/>
    <col min="23" max="23" width="9.140625" style="349" customWidth="1"/>
    <col min="24" max="25" width="9.140625" style="672" customWidth="1"/>
    <col min="26" max="26" width="255.5703125" style="672" bestFit="1" customWidth="1"/>
    <col min="27" max="28" width="9.140625" style="672" customWidth="1"/>
    <col min="29" max="16384" width="9.140625" style="672"/>
  </cols>
  <sheetData>
    <row r="1" spans="2:27" ht="18" customHeight="1">
      <c r="B1" s="848"/>
      <c r="C1" s="554" t="s">
        <v>1119</v>
      </c>
      <c r="D1" s="554"/>
      <c r="E1" s="554"/>
      <c r="F1" s="554"/>
      <c r="G1" s="554"/>
      <c r="H1" s="554" t="s">
        <v>504</v>
      </c>
      <c r="I1" s="554"/>
      <c r="J1" s="554"/>
      <c r="K1" s="554"/>
      <c r="L1" s="554"/>
      <c r="M1" s="554"/>
      <c r="N1" s="554"/>
      <c r="O1" s="554"/>
      <c r="P1" s="1334" t="s">
        <v>147</v>
      </c>
      <c r="Q1" s="1335"/>
      <c r="R1" s="1335"/>
      <c r="S1" s="1335"/>
      <c r="T1" s="1335"/>
      <c r="U1" s="1335"/>
      <c r="V1" s="1335"/>
      <c r="W1" s="1335"/>
    </row>
    <row r="2" spans="2:27" ht="18" customHeight="1">
      <c r="C2" s="566" t="s">
        <v>505</v>
      </c>
      <c r="D2" s="350"/>
      <c r="E2" s="350"/>
      <c r="F2" s="566"/>
      <c r="G2" s="350"/>
      <c r="H2" s="289" t="s">
        <v>1081</v>
      </c>
      <c r="I2" s="796"/>
      <c r="J2" s="554"/>
      <c r="K2" s="554"/>
      <c r="L2" s="554"/>
      <c r="M2" s="554"/>
      <c r="N2" s="554"/>
      <c r="O2" s="554"/>
      <c r="P2" s="1336"/>
      <c r="Q2" s="349" t="s">
        <v>506</v>
      </c>
      <c r="R2" s="349" t="s">
        <v>515</v>
      </c>
      <c r="S2" s="349" t="s">
        <v>511</v>
      </c>
      <c r="V2" s="349" t="s">
        <v>515</v>
      </c>
      <c r="W2" s="349" t="s">
        <v>507</v>
      </c>
      <c r="X2" s="672" t="s">
        <v>516</v>
      </c>
      <c r="Y2" s="1336" t="s">
        <v>509</v>
      </c>
      <c r="Z2" s="558" t="str">
        <f>"Thực hiện nhiệm vụ của "&amp;Ts!K7&amp;" giao "&amp;Ts!K11&amp;" về việc thẩm định dự toán xây dựng công trình "&amp;Ts!K6&amp;". Sau khi nghiên cứu hồ sơ "&amp;Ts!K11&amp;" có ý kiến như sau:"</f>
        <v>Thực hiện nhiệm vụ của  giao  về việc thẩm định dự toán xây dựng công trình . Sau khi nghiên cứu hồ sơ  có ý kiến như sau:</v>
      </c>
      <c r="AA2" s="558" t="s">
        <v>512</v>
      </c>
    </row>
    <row r="3" spans="2:27" ht="18" customHeight="1">
      <c r="C3" s="567" t="s">
        <v>778</v>
      </c>
      <c r="D3" s="797"/>
      <c r="E3" s="797"/>
      <c r="F3" s="797"/>
      <c r="G3" s="797"/>
      <c r="P3" s="350"/>
      <c r="V3" s="349" t="s">
        <v>508</v>
      </c>
      <c r="W3" s="349" t="s">
        <v>509</v>
      </c>
      <c r="X3" s="672" t="s">
        <v>517</v>
      </c>
      <c r="Y3" s="1336" t="s">
        <v>511</v>
      </c>
      <c r="Z3" s="558" t="str">
        <f>"Theo đề nghị của "&amp;Ts!K7&amp;" về việc thẩm định dự toán xây dựng công trình "&amp;Ts!K4&amp;" . Sau khi nghiên cứu hồ sơ "&amp;Ts!K11&amp;" có ý kiến như sau:"</f>
        <v>Theo đề nghị của  về việc thẩm định dự toán xây dựng công trình NHÀ 01 TẦNG, TƯỜNG CHỊU LỰC 110MM, MÁI LỢP FIBRÔXIMĂNG, KHÔNG CÓ KHU VỆ SINH KHÉP KÍN . Sau khi nghiên cứu hồ sơ  có ý kiến như sau:</v>
      </c>
      <c r="AA3" s="558" t="s">
        <v>512</v>
      </c>
    </row>
    <row r="4" spans="2:27" ht="18" customHeight="1">
      <c r="C4" s="2472" t="str">
        <f>"V/v: "&amp;IF(S2=W2,"Thẩm tra","Thẩm định")&amp;" dự toán công trình "&amp;Ts!K4</f>
        <v>V/v: Thẩm định dự toán công trình NHÀ 01 TẦNG, TƯỜNG CHỊU LỰC 110MM, MÁI LỢP FIBRÔXIMĂNG, KHÔNG CÓ KHU VỆ SINH KHÉP KÍN</v>
      </c>
      <c r="D4" s="2473"/>
      <c r="E4" s="2473"/>
      <c r="F4" s="2473"/>
      <c r="G4" s="2473"/>
      <c r="O4" s="555" t="s">
        <v>1082</v>
      </c>
      <c r="V4" s="349" t="s">
        <v>510</v>
      </c>
      <c r="W4" s="349" t="s">
        <v>511</v>
      </c>
      <c r="X4" s="672" t="s">
        <v>517</v>
      </c>
      <c r="Y4" s="1336" t="s">
        <v>507</v>
      </c>
      <c r="Z4" s="558" t="str">
        <f>"Theo hợp đồng kinh tế số "&amp;Ts!K10&amp;" ký giữa "&amp;Ts!K7&amp;" và " &amp;Ts!K9&amp;" về việc thẩm tra dự toán xây dựng công trình "&amp;Ts!K4&amp;". Sau khi nghiên cứu hồ sơ "&amp;Ts!K9&amp;" có ý kiến như sau:"</f>
        <v>Theo hợp đồng kinh tế số  ký giữa  và  về việc thẩm tra dự toán xây dựng công trình NHÀ 01 TẦNG, TƯỜNG CHỊU LỰC 110MM, MÁI LỢP FIBRÔXIMĂNG, KHÔNG CÓ KHU VỆ SINH KHÉP KÍN. Sau khi nghiên cứu hồ sơ  có ý kiến như sau:</v>
      </c>
      <c r="AA4" s="558" t="s">
        <v>515</v>
      </c>
    </row>
    <row r="5" spans="2:27" ht="18" customHeight="1">
      <c r="C5" s="2473"/>
      <c r="D5" s="2473"/>
      <c r="E5" s="2473"/>
      <c r="F5" s="2473"/>
      <c r="G5" s="2473"/>
    </row>
    <row r="6" spans="2:27" ht="18" customHeight="1">
      <c r="C6" s="2473"/>
      <c r="D6" s="2473"/>
      <c r="E6" s="2473"/>
      <c r="F6" s="2473"/>
      <c r="G6" s="2473"/>
    </row>
    <row r="7" spans="2:27" ht="18" customHeight="1">
      <c r="C7" s="556" t="str">
        <f>"BÁO CÁO KẾT QUẢ "&amp;IF(S2=W2,"THẨM TRA","THẨM ĐỊNH")</f>
        <v>BÁO CÁO KẾT QUẢ THẨM ĐỊNH</v>
      </c>
      <c r="D7" s="317"/>
      <c r="E7" s="317"/>
      <c r="F7" s="317"/>
      <c r="G7" s="317"/>
      <c r="H7" s="317"/>
      <c r="I7" s="317"/>
      <c r="J7" s="317"/>
      <c r="K7" s="317"/>
      <c r="L7" s="317"/>
      <c r="M7" s="317"/>
      <c r="N7" s="317"/>
      <c r="O7" s="317"/>
    </row>
    <row r="8" spans="2:27" ht="18" customHeight="1">
      <c r="C8" s="556" t="s">
        <v>202</v>
      </c>
      <c r="D8" s="317"/>
      <c r="E8" s="317"/>
      <c r="F8" s="317"/>
      <c r="G8" s="317"/>
      <c r="H8" s="317"/>
      <c r="I8" s="317"/>
      <c r="J8" s="317"/>
      <c r="K8" s="317"/>
      <c r="L8" s="317"/>
      <c r="M8" s="317"/>
      <c r="N8" s="317"/>
      <c r="O8" s="317"/>
    </row>
    <row r="9" spans="2:27" ht="18" customHeight="1">
      <c r="C9" s="317" t="str">
        <f>"Công trình: "&amp;Ts!$K$4&amp;""</f>
        <v>Công trình: NHÀ 01 TẦNG, TƯỜNG CHỊU LỰC 110MM, MÁI LỢP FIBRÔXIMĂNG, KHÔNG CÓ KHU VỆ SINH KHÉP KÍN</v>
      </c>
      <c r="D9" s="317"/>
      <c r="E9" s="317"/>
      <c r="F9" s="317"/>
      <c r="G9" s="317"/>
      <c r="H9" s="317"/>
      <c r="I9" s="317"/>
      <c r="J9" s="317"/>
      <c r="K9" s="317"/>
      <c r="L9" s="317"/>
      <c r="M9" s="317"/>
      <c r="N9" s="317"/>
      <c r="O9" s="317"/>
    </row>
    <row r="10" spans="2:27" ht="18" customHeight="1">
      <c r="C10" s="317" t="str">
        <f>"Địa điểm: "&amp;Ts!$K$6&amp;""</f>
        <v xml:space="preserve">Địa điểm: </v>
      </c>
      <c r="D10" s="317"/>
      <c r="E10" s="317"/>
      <c r="F10" s="317"/>
      <c r="G10" s="317"/>
      <c r="H10" s="317"/>
      <c r="I10" s="317"/>
      <c r="J10" s="317"/>
      <c r="K10" s="317"/>
      <c r="L10" s="317"/>
      <c r="M10" s="317"/>
      <c r="N10" s="317"/>
      <c r="O10" s="317"/>
    </row>
    <row r="11" spans="2:27" ht="35.25" customHeight="1">
      <c r="C11" s="557" t="str">
        <f>"Kính gửi: "&amp;Ts!K7</f>
        <v xml:space="preserve">Kính gửi: </v>
      </c>
      <c r="D11" s="317"/>
      <c r="E11" s="317"/>
      <c r="F11" s="317"/>
      <c r="G11" s="317"/>
      <c r="H11" s="317"/>
      <c r="I11" s="317"/>
      <c r="J11" s="317"/>
      <c r="K11" s="317"/>
      <c r="L11" s="317"/>
      <c r="M11" s="317"/>
      <c r="N11" s="317"/>
      <c r="O11" s="317"/>
    </row>
    <row r="12" spans="2:27" ht="63.75" customHeight="1">
      <c r="C12" s="558"/>
      <c r="D12" s="2474" t="str">
        <f>"Thực hiện nhiệm vụ được giao"&amp;" về việc thẩm định dự toán xây dựng công trình "&amp;Ts!$K$4&amp;" trên cơ sở đề nghị của … tại Tờ trình số… /văn bản số …."&amp;". Sau khi nghiên cứu hồ sơ, "&amp;" đơn vị thẩm định báo cáo kết quả thẩm định "&amp;"Công trình: "&amp;Ts!$K$4&amp;" như sau:"</f>
        <v>Thực hiện nhiệm vụ được giao về việc thẩm định dự toán xây dựng công trình NHÀ 01 TẦNG, TƯỜNG CHỊU LỰC 110MM, MÁI LỢP FIBRÔXIMĂNG, KHÔNG CÓ KHU VỆ SINH KHÉP KÍN trên cơ sở đề nghị của … tại Tờ trình số… /văn bản số ….. Sau khi nghiên cứu hồ sơ,  đơn vị thẩm định báo cáo kết quả thẩm định Công trình: NHÀ 01 TẦNG, TƯỜNG CHỊU LỰC 110MM, MÁI LỢP FIBRÔXIMĂNG, KHÔNG CÓ KHU VỆ SINH KHÉP KÍN như sau:</v>
      </c>
      <c r="E12" s="2474"/>
      <c r="F12" s="2474"/>
      <c r="G12" s="2474"/>
      <c r="H12" s="2474"/>
      <c r="I12" s="2474"/>
      <c r="J12" s="2474"/>
      <c r="K12" s="2474"/>
      <c r="L12" s="2474"/>
      <c r="M12" s="2474"/>
      <c r="N12" s="2474"/>
      <c r="O12" s="2474"/>
    </row>
    <row r="13" spans="2:27" ht="18" customHeight="1">
      <c r="C13" s="559" t="s">
        <v>1045</v>
      </c>
      <c r="D13" s="559" t="s">
        <v>1151</v>
      </c>
      <c r="E13" s="558"/>
      <c r="F13" s="558"/>
      <c r="G13" s="558"/>
      <c r="H13" s="558"/>
      <c r="I13" s="558"/>
      <c r="J13" s="558"/>
      <c r="K13" s="558"/>
      <c r="L13" s="558"/>
      <c r="M13" s="558"/>
      <c r="N13" s="558"/>
      <c r="O13" s="558"/>
      <c r="Q13" s="558"/>
      <c r="R13" s="558"/>
      <c r="S13" s="558"/>
      <c r="T13" s="558"/>
      <c r="U13" s="558"/>
      <c r="V13" s="558"/>
      <c r="W13" s="558"/>
    </row>
    <row r="14" spans="2:27" ht="36" customHeight="1">
      <c r="C14" s="558"/>
      <c r="D14" s="2470" t="str">
        <f>"- Tên Dự án: "&amp;Ts!K3</f>
        <v>- Tên Dự án: ĐIỀU CHỈNH, BỔ SUNG, ĐƠN GIÁ XÂY DỰNG CỦA MỘT SỐ LOẠI CÔNG TRÌNH ĐỂ XÁC ĐỊNH GIÁ TRỊ BỒI
THƯỜNG ĐỐI VỚI NHÀ Ở, CÔNG TRÌNH PHẢI THÁO DỠ KHI NHÀ NƯỚC THU HỒI ĐẤT TRÊN ĐỊA BÀN TỈNH SƠN LA</v>
      </c>
      <c r="E14" s="2470"/>
      <c r="F14" s="2470"/>
      <c r="G14" s="2470"/>
      <c r="H14" s="2470"/>
      <c r="I14" s="2470"/>
      <c r="J14" s="2470"/>
      <c r="K14" s="2470"/>
      <c r="L14" s="2470"/>
      <c r="M14" s="2470"/>
      <c r="N14" s="2470"/>
      <c r="O14" s="2470"/>
      <c r="R14" s="558"/>
      <c r="S14" s="558"/>
      <c r="T14" s="558"/>
      <c r="U14" s="558"/>
      <c r="V14" s="558"/>
      <c r="W14" s="558"/>
    </row>
    <row r="15" spans="2:27" ht="18" customHeight="1">
      <c r="C15" s="558"/>
      <c r="D15" s="2470" t="str">
        <f>"- Tên công trình: "&amp;Ts!K4</f>
        <v>- Tên công trình: NHÀ 01 TẦNG, TƯỜNG CHỊU LỰC 110MM, MÁI LỢP FIBRÔXIMĂNG, KHÔNG CÓ KHU VỆ SINH KHÉP KÍN</v>
      </c>
      <c r="E15" s="2470"/>
      <c r="F15" s="2470"/>
      <c r="G15" s="2470"/>
      <c r="H15" s="2470"/>
      <c r="I15" s="2470"/>
      <c r="J15" s="2470"/>
      <c r="K15" s="2470"/>
      <c r="L15" s="2470"/>
      <c r="M15" s="2470"/>
      <c r="N15" s="2470"/>
      <c r="O15" s="2470"/>
      <c r="R15" s="558"/>
      <c r="S15" s="558"/>
      <c r="T15" s="558"/>
      <c r="U15" s="558"/>
      <c r="V15" s="558"/>
      <c r="W15" s="558"/>
    </row>
    <row r="16" spans="2:27" ht="18" customHeight="1">
      <c r="C16" s="558"/>
      <c r="D16" s="2470" t="str">
        <f>"- Địa điểm xây dựng: "&amp;Ts!K6</f>
        <v xml:space="preserve">- Địa điểm xây dựng: </v>
      </c>
      <c r="E16" s="2470"/>
      <c r="F16" s="2470"/>
      <c r="G16" s="2470"/>
      <c r="H16" s="2470"/>
      <c r="I16" s="2470"/>
      <c r="J16" s="2470"/>
      <c r="K16" s="2470"/>
      <c r="L16" s="2470"/>
      <c r="M16" s="2470"/>
      <c r="N16" s="2470"/>
      <c r="O16" s="2470"/>
      <c r="R16" s="558"/>
      <c r="S16" s="558"/>
      <c r="T16" s="558"/>
      <c r="U16" s="558"/>
      <c r="V16" s="558"/>
      <c r="W16" s="558"/>
    </row>
    <row r="17" spans="2:23" ht="36" customHeight="1">
      <c r="C17" s="558"/>
      <c r="D17" s="2470" t="str">
        <f>"- Loại và cấp công trình/Loại và cấp công trình cao nhất của Dự án: "&amp;Ts!K6</f>
        <v xml:space="preserve">- Loại và cấp công trình/Loại và cấp công trình cao nhất của Dự án: </v>
      </c>
      <c r="E17" s="2470"/>
      <c r="F17" s="2470"/>
      <c r="G17" s="2470"/>
      <c r="H17" s="2470"/>
      <c r="I17" s="2470"/>
      <c r="J17" s="2470"/>
      <c r="K17" s="2470"/>
      <c r="L17" s="2470"/>
      <c r="M17" s="2470"/>
      <c r="N17" s="2470"/>
      <c r="O17" s="2470"/>
      <c r="R17" s="558"/>
      <c r="S17" s="558"/>
      <c r="T17" s="558"/>
      <c r="U17" s="558"/>
      <c r="V17" s="558"/>
      <c r="W17" s="558"/>
    </row>
    <row r="18" spans="2:23" ht="18" customHeight="1">
      <c r="C18" s="558"/>
      <c r="D18" s="2471" t="s">
        <v>1047</v>
      </c>
      <c r="E18" s="2470"/>
      <c r="F18" s="2470"/>
      <c r="G18" s="2470"/>
      <c r="H18" s="2470"/>
      <c r="I18" s="2470"/>
      <c r="J18" s="2470"/>
      <c r="K18" s="2470"/>
      <c r="L18" s="2470"/>
      <c r="M18" s="2470"/>
      <c r="N18" s="2470"/>
      <c r="O18" s="2470"/>
      <c r="R18" s="558"/>
      <c r="S18" s="558"/>
      <c r="T18" s="558"/>
      <c r="U18" s="558"/>
      <c r="V18" s="558"/>
      <c r="W18" s="558"/>
    </row>
    <row r="19" spans="2:23" ht="18" customHeight="1">
      <c r="C19" s="558"/>
      <c r="D19" s="2470" t="str">
        <f>"- Chủ đầu tư: "&amp;Ts!K7</f>
        <v xml:space="preserve">- Chủ đầu tư: </v>
      </c>
      <c r="E19" s="2470"/>
      <c r="F19" s="2470"/>
      <c r="G19" s="2470"/>
      <c r="H19" s="2470"/>
      <c r="I19" s="2470"/>
      <c r="J19" s="2470"/>
      <c r="K19" s="2470"/>
      <c r="L19" s="2470"/>
      <c r="M19" s="2470"/>
      <c r="N19" s="2470"/>
      <c r="O19" s="2470"/>
      <c r="R19" s="558"/>
      <c r="S19" s="558"/>
      <c r="T19" s="558"/>
      <c r="U19" s="558"/>
      <c r="V19" s="558"/>
      <c r="W19" s="558"/>
    </row>
    <row r="20" spans="2:23" ht="18" customHeight="1">
      <c r="C20" s="558"/>
      <c r="D20" s="2471" t="s">
        <v>1048</v>
      </c>
      <c r="E20" s="2470"/>
      <c r="F20" s="2470"/>
      <c r="G20" s="2470"/>
      <c r="H20" s="2470"/>
      <c r="I20" s="2470"/>
      <c r="J20" s="2470"/>
      <c r="K20" s="2470"/>
      <c r="L20" s="2470"/>
      <c r="M20" s="2470"/>
      <c r="N20" s="2470"/>
      <c r="O20" s="2470"/>
      <c r="R20" s="558"/>
      <c r="S20" s="558"/>
      <c r="T20" s="558"/>
      <c r="U20" s="558"/>
      <c r="V20" s="558"/>
      <c r="W20" s="558"/>
    </row>
    <row r="21" spans="2:23" ht="18" customHeight="1">
      <c r="C21" s="558"/>
      <c r="D21" s="2471" t="s">
        <v>1049</v>
      </c>
      <c r="E21" s="2470"/>
      <c r="F21" s="2470"/>
      <c r="G21" s="2470"/>
      <c r="H21" s="2470"/>
      <c r="I21" s="2470"/>
      <c r="J21" s="2470"/>
      <c r="K21" s="2470"/>
      <c r="L21" s="2470"/>
      <c r="M21" s="2470"/>
      <c r="N21" s="2470"/>
      <c r="O21" s="2470"/>
      <c r="R21" s="558"/>
      <c r="S21" s="558"/>
      <c r="T21" s="558"/>
      <c r="U21" s="558"/>
      <c r="V21" s="558"/>
      <c r="W21" s="558"/>
    </row>
    <row r="22" spans="2:23" ht="36" customHeight="1">
      <c r="C22" s="558"/>
      <c r="D22" s="2471" t="s">
        <v>1120</v>
      </c>
      <c r="E22" s="2470"/>
      <c r="F22" s="2470"/>
      <c r="G22" s="2470"/>
      <c r="H22" s="2470"/>
      <c r="I22" s="2470"/>
      <c r="J22" s="2470"/>
      <c r="K22" s="2470"/>
      <c r="L22" s="2470"/>
      <c r="M22" s="2470"/>
      <c r="N22" s="2470"/>
      <c r="O22" s="2470"/>
      <c r="R22" s="558"/>
      <c r="S22" s="558"/>
      <c r="T22" s="558"/>
      <c r="U22" s="558"/>
      <c r="V22" s="558"/>
      <c r="W22" s="558"/>
    </row>
    <row r="23" spans="2:23" ht="18" customHeight="1">
      <c r="B23" s="849"/>
      <c r="C23" s="559" t="s">
        <v>1051</v>
      </c>
      <c r="D23" s="559" t="str">
        <f>"Căn cứ "&amp;IF(T2=X2,"thẩm tra","thẩm định")</f>
        <v>Căn cứ thẩm định</v>
      </c>
      <c r="E23" s="558"/>
      <c r="F23" s="558"/>
      <c r="G23" s="558"/>
      <c r="H23" s="558"/>
      <c r="I23" s="558"/>
      <c r="J23" s="558"/>
      <c r="K23" s="558"/>
      <c r="L23" s="558"/>
      <c r="M23" s="558"/>
      <c r="N23" s="558"/>
      <c r="O23" s="558"/>
      <c r="P23" s="17"/>
      <c r="Q23" s="17"/>
      <c r="R23" s="558"/>
      <c r="S23" s="558"/>
      <c r="T23" s="558"/>
      <c r="U23" s="558"/>
      <c r="V23" s="558"/>
      <c r="W23" s="558"/>
    </row>
    <row r="24" spans="2:23" ht="28.5" customHeight="1">
      <c r="B24" s="849"/>
      <c r="C24" s="559" t="s">
        <v>800</v>
      </c>
      <c r="D24" s="559" t="s">
        <v>1121</v>
      </c>
      <c r="E24" s="558"/>
      <c r="F24" s="558"/>
      <c r="G24" s="558"/>
      <c r="H24" s="558"/>
      <c r="I24" s="558"/>
      <c r="J24" s="558"/>
      <c r="K24" s="558"/>
      <c r="L24" s="558"/>
      <c r="M24" s="558"/>
      <c r="N24" s="558"/>
      <c r="O24" s="558"/>
      <c r="P24" s="17"/>
      <c r="Q24" s="17"/>
      <c r="R24" s="558"/>
      <c r="S24" s="558"/>
      <c r="T24" s="558"/>
      <c r="U24" s="558"/>
      <c r="V24" s="558"/>
      <c r="W24" s="558"/>
    </row>
    <row r="25" spans="2:23" ht="36" customHeight="1">
      <c r="C25" s="558"/>
      <c r="D25" s="2471" t="s">
        <v>1066</v>
      </c>
      <c r="E25" s="2470"/>
      <c r="F25" s="2470"/>
      <c r="G25" s="2470"/>
      <c r="H25" s="2470"/>
      <c r="I25" s="2470"/>
      <c r="J25" s="2470"/>
      <c r="K25" s="2470"/>
      <c r="L25" s="2470"/>
      <c r="M25" s="2470"/>
      <c r="N25" s="2470"/>
      <c r="O25" s="2470"/>
      <c r="P25" s="672"/>
      <c r="Q25" s="558"/>
      <c r="R25" s="558"/>
      <c r="S25" s="558"/>
      <c r="T25" s="558"/>
      <c r="U25" s="558"/>
      <c r="V25" s="558"/>
      <c r="W25" s="558"/>
    </row>
    <row r="26" spans="2:23" ht="36" customHeight="1">
      <c r="C26" s="558"/>
      <c r="D26" s="2471" t="s">
        <v>1067</v>
      </c>
      <c r="E26" s="2470"/>
      <c r="F26" s="2470"/>
      <c r="G26" s="2470"/>
      <c r="H26" s="2470"/>
      <c r="I26" s="2470"/>
      <c r="J26" s="2470"/>
      <c r="K26" s="2470"/>
      <c r="L26" s="2470"/>
      <c r="M26" s="2470"/>
      <c r="N26" s="2470"/>
      <c r="O26" s="2470"/>
      <c r="Q26" s="558"/>
      <c r="R26" s="558"/>
      <c r="S26" s="558"/>
      <c r="T26" s="558"/>
      <c r="U26" s="558"/>
      <c r="V26" s="558"/>
      <c r="W26" s="558"/>
    </row>
    <row r="27" spans="2:23" ht="18" customHeight="1">
      <c r="C27" s="558"/>
      <c r="D27" s="2471" t="s">
        <v>1068</v>
      </c>
      <c r="E27" s="2470"/>
      <c r="F27" s="2470"/>
      <c r="G27" s="2470"/>
      <c r="H27" s="2470"/>
      <c r="I27" s="2470"/>
      <c r="J27" s="2470"/>
      <c r="K27" s="2470"/>
      <c r="L27" s="2470"/>
      <c r="M27" s="2470"/>
      <c r="N27" s="2470"/>
      <c r="O27" s="2470"/>
      <c r="Q27" s="558"/>
      <c r="R27" s="558"/>
      <c r="S27" s="558"/>
      <c r="T27" s="558"/>
      <c r="U27" s="558"/>
      <c r="V27" s="558"/>
      <c r="W27" s="558"/>
    </row>
    <row r="28" spans="2:23" ht="36" customHeight="1">
      <c r="C28" s="558"/>
      <c r="D28" s="2471" t="s">
        <v>1053</v>
      </c>
      <c r="E28" s="2470"/>
      <c r="F28" s="2470"/>
      <c r="G28" s="2470"/>
      <c r="H28" s="2470"/>
      <c r="I28" s="2470"/>
      <c r="J28" s="2470"/>
      <c r="K28" s="2470"/>
      <c r="L28" s="2470"/>
      <c r="M28" s="2470"/>
      <c r="N28" s="2470"/>
      <c r="O28" s="2470"/>
      <c r="Q28" s="558"/>
      <c r="R28" s="558"/>
      <c r="S28" s="558"/>
      <c r="T28" s="558"/>
      <c r="U28" s="558"/>
      <c r="V28" s="558"/>
      <c r="W28" s="558"/>
    </row>
    <row r="29" spans="2:23" ht="36" customHeight="1">
      <c r="C29" s="558"/>
      <c r="D29" s="2471" t="s">
        <v>1054</v>
      </c>
      <c r="E29" s="2470"/>
      <c r="F29" s="2470"/>
      <c r="G29" s="2470"/>
      <c r="H29" s="2470"/>
      <c r="I29" s="2470"/>
      <c r="J29" s="2470"/>
      <c r="K29" s="2470"/>
      <c r="L29" s="2470"/>
      <c r="M29" s="2470"/>
      <c r="N29" s="2470"/>
      <c r="O29" s="2470"/>
      <c r="Q29" s="558"/>
      <c r="R29" s="558"/>
      <c r="S29" s="558"/>
      <c r="T29" s="558"/>
      <c r="U29" s="558"/>
      <c r="V29" s="558"/>
      <c r="W29" s="558"/>
    </row>
    <row r="30" spans="2:23" ht="36" customHeight="1">
      <c r="C30" s="558"/>
      <c r="D30" s="2471" t="s">
        <v>1069</v>
      </c>
      <c r="E30" s="2470"/>
      <c r="F30" s="2470"/>
      <c r="G30" s="2470"/>
      <c r="H30" s="2470"/>
      <c r="I30" s="2470"/>
      <c r="J30" s="2470"/>
      <c r="K30" s="2470"/>
      <c r="L30" s="2470"/>
      <c r="M30" s="2470"/>
      <c r="N30" s="2470"/>
      <c r="O30" s="2470"/>
      <c r="Q30" s="558"/>
      <c r="R30" s="558"/>
      <c r="S30" s="558"/>
      <c r="T30" s="558"/>
      <c r="U30" s="558"/>
      <c r="V30" s="558"/>
      <c r="W30" s="558"/>
    </row>
    <row r="31" spans="2:23" ht="36" customHeight="1">
      <c r="C31" s="558"/>
      <c r="D31" s="2475" t="s">
        <v>1070</v>
      </c>
      <c r="E31" s="2470"/>
      <c r="F31" s="2470"/>
      <c r="G31" s="2470"/>
      <c r="H31" s="2470"/>
      <c r="I31" s="2470"/>
      <c r="J31" s="2470"/>
      <c r="K31" s="2470"/>
      <c r="L31" s="2470"/>
      <c r="M31" s="2470"/>
      <c r="N31" s="2470"/>
      <c r="O31" s="2470"/>
      <c r="Q31" s="558"/>
      <c r="R31" s="558"/>
      <c r="S31" s="558"/>
      <c r="T31" s="558"/>
      <c r="U31" s="558"/>
      <c r="V31" s="558"/>
      <c r="W31" s="558"/>
    </row>
    <row r="32" spans="2:23" ht="36" customHeight="1">
      <c r="C32" s="558"/>
      <c r="D32" s="2471" t="s">
        <v>1071</v>
      </c>
      <c r="E32" s="2470"/>
      <c r="F32" s="2470"/>
      <c r="G32" s="2470"/>
      <c r="H32" s="2470"/>
      <c r="I32" s="2470"/>
      <c r="J32" s="2470"/>
      <c r="K32" s="2470"/>
      <c r="L32" s="2470"/>
      <c r="M32" s="2470"/>
      <c r="N32" s="2470"/>
      <c r="O32" s="2470"/>
      <c r="Q32" s="558"/>
      <c r="R32" s="558"/>
      <c r="S32" s="558"/>
      <c r="T32" s="558"/>
      <c r="U32" s="558"/>
      <c r="V32" s="558"/>
      <c r="W32" s="558"/>
    </row>
    <row r="33" spans="3:23" ht="18" customHeight="1">
      <c r="C33" s="558"/>
      <c r="D33" s="2471" t="s">
        <v>1072</v>
      </c>
      <c r="E33" s="2470"/>
      <c r="F33" s="2470"/>
      <c r="G33" s="2470"/>
      <c r="H33" s="2470"/>
      <c r="I33" s="2470"/>
      <c r="J33" s="2470"/>
      <c r="K33" s="2470"/>
      <c r="L33" s="2470"/>
      <c r="M33" s="2470"/>
      <c r="N33" s="2470"/>
      <c r="O33" s="2470"/>
      <c r="Q33" s="558"/>
      <c r="R33" s="558"/>
      <c r="S33" s="558"/>
      <c r="T33" s="558"/>
      <c r="U33" s="558"/>
      <c r="V33" s="558"/>
      <c r="W33" s="558"/>
    </row>
    <row r="34" spans="3:23" ht="18" customHeight="1">
      <c r="C34" s="558"/>
      <c r="D34" s="2471" t="s">
        <v>1073</v>
      </c>
      <c r="E34" s="2470"/>
      <c r="F34" s="2470"/>
      <c r="G34" s="2470"/>
      <c r="H34" s="2470"/>
      <c r="I34" s="2470"/>
      <c r="J34" s="2470"/>
      <c r="K34" s="2470"/>
      <c r="L34" s="2470"/>
      <c r="M34" s="2470"/>
      <c r="N34" s="2470"/>
      <c r="O34" s="2470"/>
      <c r="Q34" s="558"/>
      <c r="R34" s="558"/>
      <c r="S34" s="558"/>
      <c r="T34" s="558"/>
      <c r="U34" s="558"/>
      <c r="V34" s="558"/>
      <c r="W34" s="558"/>
    </row>
    <row r="35" spans="3:23" ht="18" customHeight="1">
      <c r="C35" s="558"/>
      <c r="D35" s="2471" t="s">
        <v>1056</v>
      </c>
      <c r="E35" s="2470"/>
      <c r="F35" s="2470"/>
      <c r="G35" s="2470"/>
      <c r="H35" s="2470"/>
      <c r="I35" s="2470"/>
      <c r="J35" s="2470"/>
      <c r="K35" s="2470"/>
      <c r="L35" s="2470"/>
      <c r="M35" s="2470"/>
      <c r="N35" s="2470"/>
      <c r="O35" s="2470"/>
      <c r="Q35" s="558"/>
      <c r="R35" s="558"/>
      <c r="S35" s="558"/>
      <c r="T35" s="558"/>
      <c r="U35" s="558"/>
      <c r="V35" s="558"/>
      <c r="W35" s="558"/>
    </row>
    <row r="36" spans="3:23" ht="18" customHeight="1">
      <c r="C36" s="558"/>
      <c r="D36" s="2475" t="s">
        <v>1055</v>
      </c>
      <c r="E36" s="2475"/>
      <c r="F36" s="2475"/>
      <c r="G36" s="2475"/>
      <c r="H36" s="2475"/>
      <c r="I36" s="2475"/>
      <c r="J36" s="2475"/>
      <c r="K36" s="2475"/>
      <c r="L36" s="2475"/>
      <c r="M36" s="2475"/>
      <c r="N36" s="2475"/>
      <c r="O36" s="2475"/>
      <c r="Q36" s="558"/>
      <c r="R36" s="558"/>
      <c r="S36" s="558"/>
      <c r="T36" s="558"/>
      <c r="U36" s="558"/>
      <c r="V36" s="558"/>
      <c r="W36" s="558"/>
    </row>
    <row r="37" spans="3:23" ht="18" customHeight="1">
      <c r="C37" s="559" t="s">
        <v>799</v>
      </c>
      <c r="D37" s="559" t="s">
        <v>1122</v>
      </c>
      <c r="E37" s="558"/>
      <c r="F37" s="558"/>
      <c r="G37" s="558"/>
      <c r="H37" s="558"/>
      <c r="I37" s="558"/>
      <c r="J37" s="558"/>
      <c r="K37" s="558"/>
      <c r="L37" s="558"/>
      <c r="M37" s="558"/>
      <c r="N37" s="558"/>
      <c r="O37" s="558"/>
      <c r="Q37" s="558"/>
      <c r="R37" s="558"/>
      <c r="S37" s="558"/>
      <c r="T37" s="558"/>
      <c r="U37" s="558"/>
      <c r="V37" s="558"/>
      <c r="W37" s="558"/>
    </row>
    <row r="38" spans="3:23" ht="36" customHeight="1">
      <c r="C38" s="558"/>
      <c r="D38" s="2475" t="s">
        <v>1058</v>
      </c>
      <c r="E38" s="2474"/>
      <c r="F38" s="2474"/>
      <c r="G38" s="2474"/>
      <c r="H38" s="2474"/>
      <c r="I38" s="2474"/>
      <c r="J38" s="2474"/>
      <c r="K38" s="2474"/>
      <c r="L38" s="2474"/>
      <c r="M38" s="2474"/>
      <c r="N38" s="2474"/>
      <c r="O38" s="2474"/>
      <c r="Q38" s="558"/>
      <c r="R38" s="558"/>
      <c r="S38" s="558"/>
      <c r="T38" s="558"/>
      <c r="U38" s="558"/>
      <c r="V38" s="558"/>
      <c r="W38" s="558"/>
    </row>
    <row r="39" spans="3:23" ht="18" customHeight="1">
      <c r="C39" s="558"/>
      <c r="D39" s="630" t="s">
        <v>1152</v>
      </c>
      <c r="E39" s="558"/>
      <c r="F39" s="558"/>
      <c r="G39" s="558"/>
      <c r="H39" s="558"/>
      <c r="I39" s="558"/>
      <c r="J39" s="558"/>
      <c r="K39" s="558"/>
      <c r="L39" s="558"/>
      <c r="M39" s="558"/>
      <c r="N39" s="558"/>
      <c r="O39" s="558"/>
      <c r="Q39" s="558"/>
      <c r="R39" s="558"/>
      <c r="S39" s="558"/>
      <c r="T39" s="558"/>
      <c r="U39" s="558"/>
      <c r="V39" s="558"/>
      <c r="W39" s="558"/>
    </row>
    <row r="40" spans="3:23" ht="36" customHeight="1">
      <c r="C40" s="558"/>
      <c r="D40" s="2475" t="s">
        <v>1123</v>
      </c>
      <c r="E40" s="2474"/>
      <c r="F40" s="2474"/>
      <c r="G40" s="2474"/>
      <c r="H40" s="2474"/>
      <c r="I40" s="2474"/>
      <c r="J40" s="2474"/>
      <c r="K40" s="2474"/>
      <c r="L40" s="2474"/>
      <c r="M40" s="2474"/>
      <c r="N40" s="2474"/>
      <c r="O40" s="2474"/>
      <c r="Q40" s="558"/>
      <c r="R40" s="558"/>
      <c r="S40" s="558"/>
      <c r="T40" s="558"/>
      <c r="U40" s="558"/>
      <c r="V40" s="558"/>
      <c r="W40" s="558"/>
    </row>
    <row r="41" spans="3:23" ht="19.5" customHeight="1">
      <c r="C41" s="558"/>
      <c r="D41" s="630" t="s">
        <v>1124</v>
      </c>
      <c r="E41" s="630"/>
      <c r="F41" s="630"/>
      <c r="G41" s="630"/>
      <c r="H41" s="630"/>
      <c r="I41" s="630"/>
      <c r="J41" s="630"/>
      <c r="K41" s="630"/>
      <c r="L41" s="630"/>
      <c r="M41" s="630"/>
      <c r="N41" s="630"/>
      <c r="O41" s="630"/>
      <c r="Q41" s="558"/>
      <c r="R41" s="558"/>
      <c r="S41" s="558"/>
      <c r="T41" s="558"/>
      <c r="U41" s="558"/>
      <c r="V41" s="558"/>
      <c r="W41" s="558"/>
    </row>
    <row r="42" spans="3:23" ht="37.5" customHeight="1">
      <c r="C42" s="558"/>
      <c r="D42" s="2476" t="s">
        <v>1125</v>
      </c>
      <c r="E42" s="2476"/>
      <c r="F42" s="2476"/>
      <c r="G42" s="2476"/>
      <c r="H42" s="2476"/>
      <c r="I42" s="2476"/>
      <c r="J42" s="2476"/>
      <c r="K42" s="2476"/>
      <c r="L42" s="2476"/>
      <c r="M42" s="2476"/>
      <c r="N42" s="2476"/>
      <c r="O42" s="2476"/>
      <c r="Q42" s="558"/>
      <c r="R42" s="558"/>
      <c r="S42" s="558"/>
      <c r="T42" s="558"/>
      <c r="U42" s="558"/>
      <c r="V42" s="558"/>
      <c r="W42" s="558"/>
    </row>
    <row r="43" spans="3:23" ht="39.75" customHeight="1">
      <c r="C43" s="558"/>
      <c r="D43" s="2476" t="s">
        <v>1126</v>
      </c>
      <c r="E43" s="2476"/>
      <c r="F43" s="2476"/>
      <c r="G43" s="2476"/>
      <c r="H43" s="2476"/>
      <c r="I43" s="2476"/>
      <c r="J43" s="2476"/>
      <c r="K43" s="2476"/>
      <c r="L43" s="2476"/>
      <c r="M43" s="2476"/>
      <c r="N43" s="2476"/>
      <c r="O43" s="2476"/>
      <c r="Q43" s="558"/>
      <c r="R43" s="558"/>
      <c r="S43" s="558"/>
      <c r="T43" s="558"/>
      <c r="U43" s="558"/>
      <c r="V43" s="558"/>
      <c r="W43" s="558"/>
    </row>
    <row r="44" spans="3:23" ht="38.25" customHeight="1">
      <c r="C44" s="558"/>
      <c r="D44" s="2476" t="s">
        <v>1127</v>
      </c>
      <c r="E44" s="2476"/>
      <c r="F44" s="2476"/>
      <c r="G44" s="2476"/>
      <c r="H44" s="2476"/>
      <c r="I44" s="2476"/>
      <c r="J44" s="2476"/>
      <c r="K44" s="2476"/>
      <c r="L44" s="2476"/>
      <c r="M44" s="2476"/>
      <c r="N44" s="2476"/>
      <c r="O44" s="2476"/>
      <c r="Q44" s="558"/>
      <c r="R44" s="558"/>
      <c r="S44" s="558"/>
      <c r="T44" s="558"/>
      <c r="U44" s="558"/>
      <c r="V44" s="558"/>
      <c r="W44" s="558"/>
    </row>
    <row r="45" spans="3:23" ht="18" customHeight="1">
      <c r="C45" s="559" t="s">
        <v>1061</v>
      </c>
      <c r="D45" s="559" t="str">
        <f>"Kết quả "&amp;IF(T2=X2,"thẩm tra","thẩm định")</f>
        <v>Kết quả thẩm định</v>
      </c>
      <c r="E45" s="558"/>
      <c r="F45" s="558"/>
      <c r="G45" s="558"/>
      <c r="H45" s="558"/>
      <c r="I45" s="558"/>
      <c r="J45" s="558"/>
      <c r="K45" s="558"/>
      <c r="L45" s="558"/>
      <c r="M45" s="558"/>
      <c r="N45" s="558"/>
      <c r="O45" s="558"/>
      <c r="Q45" s="558"/>
      <c r="R45" s="558"/>
      <c r="S45" s="558"/>
      <c r="T45" s="558"/>
      <c r="U45" s="558"/>
      <c r="V45" s="558"/>
      <c r="W45" s="558"/>
    </row>
    <row r="46" spans="3:23" ht="18" customHeight="1">
      <c r="C46" s="1338" t="s">
        <v>800</v>
      </c>
      <c r="D46" s="2499" t="s">
        <v>1128</v>
      </c>
      <c r="E46" s="2500"/>
      <c r="F46" s="2500"/>
      <c r="G46" s="2500"/>
      <c r="H46" s="2500"/>
      <c r="I46" s="2500"/>
      <c r="J46" s="2500"/>
      <c r="K46" s="2500"/>
      <c r="L46" s="2500"/>
      <c r="M46" s="2500"/>
      <c r="N46" s="2500"/>
      <c r="O46" s="2500"/>
      <c r="Q46" s="558"/>
      <c r="R46" s="558"/>
      <c r="S46" s="558"/>
      <c r="T46" s="558"/>
      <c r="U46" s="558"/>
      <c r="V46" s="558"/>
      <c r="W46" s="558"/>
    </row>
    <row r="47" spans="3:23" ht="37.5" customHeight="1">
      <c r="C47" s="558"/>
      <c r="D47" s="2476" t="s">
        <v>1129</v>
      </c>
      <c r="E47" s="2476"/>
      <c r="F47" s="2476"/>
      <c r="G47" s="2476"/>
      <c r="H47" s="2476"/>
      <c r="I47" s="2476"/>
      <c r="J47" s="2476"/>
      <c r="K47" s="2476"/>
      <c r="L47" s="2476"/>
      <c r="M47" s="2476"/>
      <c r="N47" s="2476"/>
      <c r="O47" s="2476"/>
      <c r="Q47" s="558"/>
      <c r="R47" s="558"/>
      <c r="S47" s="558"/>
      <c r="T47" s="558"/>
      <c r="U47" s="558"/>
      <c r="V47" s="558"/>
      <c r="W47" s="558"/>
    </row>
    <row r="48" spans="3:23" ht="37.5" customHeight="1">
      <c r="C48" s="558"/>
      <c r="D48" s="2476" t="s">
        <v>1130</v>
      </c>
      <c r="E48" s="2476"/>
      <c r="F48" s="2476"/>
      <c r="G48" s="2476"/>
      <c r="H48" s="2476"/>
      <c r="I48" s="2476"/>
      <c r="J48" s="2476"/>
      <c r="K48" s="2476"/>
      <c r="L48" s="2476"/>
      <c r="M48" s="2476"/>
      <c r="N48" s="2476"/>
      <c r="O48" s="2476"/>
      <c r="Q48" s="558"/>
      <c r="R48" s="558"/>
      <c r="S48" s="558"/>
      <c r="T48" s="558"/>
      <c r="U48" s="558"/>
      <c r="V48" s="558"/>
      <c r="W48" s="558"/>
    </row>
    <row r="49" spans="1:27" ht="69.75" customHeight="1">
      <c r="C49" s="558"/>
      <c r="D49" s="2476" t="s">
        <v>1131</v>
      </c>
      <c r="E49" s="2476"/>
      <c r="F49" s="2476"/>
      <c r="G49" s="2476"/>
      <c r="H49" s="2476"/>
      <c r="I49" s="2476"/>
      <c r="J49" s="2476"/>
      <c r="K49" s="2476"/>
      <c r="L49" s="2476"/>
      <c r="M49" s="2476"/>
      <c r="N49" s="2476"/>
      <c r="O49" s="2476"/>
      <c r="Q49" s="558"/>
      <c r="R49" s="558"/>
      <c r="S49" s="558"/>
      <c r="T49" s="558"/>
      <c r="U49" s="558"/>
      <c r="V49" s="558"/>
      <c r="W49" s="558"/>
    </row>
    <row r="50" spans="1:27" ht="36.75" customHeight="1">
      <c r="C50" s="559" t="s">
        <v>799</v>
      </c>
      <c r="D50" s="2496" t="s">
        <v>1132</v>
      </c>
      <c r="E50" s="2496"/>
      <c r="F50" s="2496"/>
      <c r="G50" s="2496"/>
      <c r="H50" s="2496"/>
      <c r="I50" s="2496"/>
      <c r="J50" s="2496"/>
      <c r="K50" s="2496"/>
      <c r="L50" s="2496"/>
      <c r="M50" s="2496"/>
      <c r="N50" s="2496"/>
      <c r="O50" s="2496"/>
      <c r="Q50" s="558"/>
      <c r="R50" s="558"/>
      <c r="S50" s="558"/>
      <c r="T50" s="558"/>
      <c r="U50" s="558"/>
      <c r="V50" s="558"/>
      <c r="W50" s="558"/>
    </row>
    <row r="51" spans="1:27" ht="35.25" customHeight="1">
      <c r="C51" s="558" t="s">
        <v>1104</v>
      </c>
      <c r="D51" s="2476" t="s">
        <v>1133</v>
      </c>
      <c r="E51" s="2476"/>
      <c r="F51" s="2476"/>
      <c r="G51" s="2476"/>
      <c r="H51" s="2476"/>
      <c r="I51" s="2476"/>
      <c r="J51" s="2476"/>
      <c r="K51" s="2476"/>
      <c r="L51" s="2476"/>
      <c r="M51" s="2476"/>
      <c r="N51" s="2476"/>
      <c r="O51" s="2476"/>
      <c r="Q51" s="558"/>
      <c r="R51" s="558"/>
      <c r="S51" s="558"/>
      <c r="T51" s="558"/>
      <c r="U51" s="558"/>
      <c r="V51" s="558"/>
      <c r="W51" s="558"/>
    </row>
    <row r="52" spans="1:27" ht="35.25" customHeight="1">
      <c r="C52" s="558" t="s">
        <v>1135</v>
      </c>
      <c r="D52" s="2476" t="s">
        <v>1134</v>
      </c>
      <c r="E52" s="2476"/>
      <c r="F52" s="2476"/>
      <c r="G52" s="2476"/>
      <c r="H52" s="2476"/>
      <c r="I52" s="2476"/>
      <c r="J52" s="2476"/>
      <c r="K52" s="2476"/>
      <c r="L52" s="2476"/>
      <c r="M52" s="2476"/>
      <c r="N52" s="2476"/>
      <c r="O52" s="2476"/>
      <c r="Q52" s="558"/>
      <c r="R52" s="558"/>
      <c r="S52" s="558"/>
      <c r="T52" s="558"/>
      <c r="U52" s="558"/>
      <c r="V52" s="558"/>
      <c r="W52" s="558"/>
    </row>
    <row r="53" spans="1:27" ht="42" customHeight="1">
      <c r="C53" s="559" t="s">
        <v>801</v>
      </c>
      <c r="D53" s="2496" t="s">
        <v>1136</v>
      </c>
      <c r="E53" s="2496"/>
      <c r="F53" s="2496"/>
      <c r="G53" s="2496"/>
      <c r="H53" s="2496"/>
      <c r="I53" s="2496"/>
      <c r="J53" s="2496"/>
      <c r="K53" s="2496"/>
      <c r="L53" s="2496"/>
      <c r="M53" s="2496"/>
      <c r="N53" s="2496"/>
      <c r="O53" s="2496"/>
      <c r="Q53" s="558"/>
      <c r="R53" s="558"/>
      <c r="S53" s="558"/>
      <c r="T53" s="558"/>
      <c r="U53" s="558"/>
      <c r="V53" s="558"/>
      <c r="W53" s="558"/>
    </row>
    <row r="54" spans="1:27" ht="40.5" customHeight="1">
      <c r="C54" s="558"/>
      <c r="D54" s="2497" t="s">
        <v>1137</v>
      </c>
      <c r="E54" s="2497"/>
      <c r="F54" s="2497"/>
      <c r="G54" s="2497"/>
      <c r="H54" s="2497"/>
      <c r="I54" s="2497"/>
      <c r="J54" s="2497"/>
      <c r="K54" s="2497"/>
      <c r="L54" s="2497"/>
      <c r="M54" s="2497"/>
      <c r="N54" s="2497"/>
      <c r="O54" s="2497"/>
      <c r="Q54" s="558"/>
      <c r="R54" s="558"/>
      <c r="S54" s="558"/>
      <c r="T54" s="558"/>
      <c r="U54" s="558"/>
      <c r="V54" s="558"/>
      <c r="W54" s="558"/>
    </row>
    <row r="55" spans="1:27" ht="18" customHeight="1">
      <c r="C55" s="559" t="s">
        <v>802</v>
      </c>
      <c r="D55" s="1346" t="s">
        <v>1138</v>
      </c>
      <c r="E55" s="1346"/>
      <c r="F55" s="1346"/>
      <c r="G55" s="1346"/>
      <c r="H55" s="1346"/>
      <c r="I55" s="1346"/>
      <c r="J55" s="1346"/>
      <c r="K55" s="1346"/>
      <c r="L55" s="1346"/>
      <c r="M55" s="1346"/>
      <c r="N55" s="1346"/>
      <c r="O55" s="1346"/>
      <c r="Q55" s="558"/>
      <c r="R55" s="558"/>
      <c r="S55" s="558"/>
      <c r="T55" s="558"/>
      <c r="U55" s="558"/>
      <c r="V55" s="558"/>
      <c r="W55" s="558"/>
    </row>
    <row r="56" spans="1:27" ht="36.75" customHeight="1">
      <c r="C56" s="558"/>
      <c r="D56" s="2476" t="s">
        <v>1139</v>
      </c>
      <c r="E56" s="2476"/>
      <c r="F56" s="2476"/>
      <c r="G56" s="2476"/>
      <c r="H56" s="2476"/>
      <c r="I56" s="2476"/>
      <c r="J56" s="2476"/>
      <c r="K56" s="2476"/>
      <c r="L56" s="2476"/>
      <c r="M56" s="2476"/>
      <c r="N56" s="2476"/>
      <c r="O56" s="2476"/>
      <c r="Q56" s="558"/>
      <c r="R56" s="558"/>
      <c r="S56" s="558"/>
      <c r="T56" s="558"/>
      <c r="U56" s="558"/>
      <c r="V56" s="558"/>
      <c r="W56" s="558"/>
    </row>
    <row r="57" spans="1:27" s="349" customFormat="1" ht="18" customHeight="1">
      <c r="A57" s="824"/>
      <c r="B57" s="822"/>
      <c r="C57" s="558"/>
      <c r="D57" s="558"/>
      <c r="E57" s="558"/>
      <c r="F57" s="558"/>
      <c r="G57" s="558"/>
      <c r="H57" s="558"/>
      <c r="I57" s="559"/>
      <c r="J57" s="558"/>
      <c r="K57" s="558"/>
      <c r="L57" s="558"/>
      <c r="M57" s="558"/>
      <c r="N57" s="558"/>
      <c r="O57" s="1347" t="s">
        <v>1140</v>
      </c>
      <c r="X57" s="672"/>
      <c r="Y57" s="672"/>
      <c r="Z57" s="672"/>
      <c r="AA57" s="672"/>
    </row>
    <row r="58" spans="1:27" s="349" customFormat="1" ht="75.75" customHeight="1">
      <c r="A58" s="824"/>
      <c r="B58" s="822"/>
      <c r="C58" s="1351" t="s">
        <v>33</v>
      </c>
      <c r="D58" s="2492" t="s">
        <v>314</v>
      </c>
      <c r="E58" s="2493"/>
      <c r="F58" s="2494"/>
      <c r="G58" s="2495" t="s">
        <v>1115</v>
      </c>
      <c r="H58" s="2495"/>
      <c r="I58" s="2498" t="s">
        <v>1155</v>
      </c>
      <c r="J58" s="2498"/>
      <c r="K58" s="2498"/>
      <c r="L58" s="2489" t="s">
        <v>1154</v>
      </c>
      <c r="M58" s="2490"/>
      <c r="N58" s="2489" t="s">
        <v>1156</v>
      </c>
      <c r="O58" s="2490"/>
      <c r="X58" s="672"/>
      <c r="Y58" s="672"/>
      <c r="Z58" s="672"/>
      <c r="AA58" s="672"/>
    </row>
    <row r="59" spans="1:27" s="349" customFormat="1" ht="18" customHeight="1">
      <c r="A59" s="824"/>
      <c r="B59" s="822"/>
      <c r="C59" s="1349">
        <v>1</v>
      </c>
      <c r="D59" s="2478" t="s">
        <v>330</v>
      </c>
      <c r="E59" s="2478"/>
      <c r="F59" s="2478"/>
      <c r="G59" s="2477"/>
      <c r="H59" s="2477"/>
      <c r="I59" s="2477"/>
      <c r="J59" s="2477"/>
      <c r="K59" s="2477"/>
      <c r="L59" s="2477"/>
      <c r="M59" s="2477"/>
      <c r="N59" s="2491"/>
      <c r="O59" s="2491"/>
      <c r="X59" s="672"/>
      <c r="Y59" s="672"/>
      <c r="Z59" s="672"/>
      <c r="AA59" s="672"/>
    </row>
    <row r="60" spans="1:27" s="349" customFormat="1" ht="18" customHeight="1">
      <c r="A60" s="824"/>
      <c r="B60" s="822"/>
      <c r="C60" s="1349">
        <v>2</v>
      </c>
      <c r="D60" s="2478" t="s">
        <v>331</v>
      </c>
      <c r="E60" s="2478"/>
      <c r="F60" s="2478"/>
      <c r="G60" s="2477"/>
      <c r="H60" s="2477"/>
      <c r="I60" s="2477"/>
      <c r="J60" s="2477"/>
      <c r="K60" s="2477"/>
      <c r="L60" s="2477"/>
      <c r="M60" s="2477"/>
      <c r="N60" s="2491"/>
      <c r="O60" s="2491"/>
      <c r="X60" s="672"/>
      <c r="Y60" s="672"/>
      <c r="Z60" s="672"/>
      <c r="AA60" s="672"/>
    </row>
    <row r="61" spans="1:27" s="349" customFormat="1" ht="18" customHeight="1">
      <c r="A61" s="824"/>
      <c r="B61" s="822"/>
      <c r="C61" s="1349">
        <v>3</v>
      </c>
      <c r="D61" s="2478" t="s">
        <v>74</v>
      </c>
      <c r="E61" s="2478"/>
      <c r="F61" s="2478"/>
      <c r="G61" s="2477"/>
      <c r="H61" s="2477"/>
      <c r="I61" s="2477"/>
      <c r="J61" s="2477"/>
      <c r="K61" s="2477"/>
      <c r="L61" s="2477"/>
      <c r="M61" s="2477"/>
      <c r="N61" s="2491"/>
      <c r="O61" s="2491"/>
      <c r="X61" s="672"/>
      <c r="Y61" s="672"/>
      <c r="Z61" s="672"/>
      <c r="AA61" s="672"/>
    </row>
    <row r="62" spans="1:27" s="349" customFormat="1" ht="18" customHeight="1">
      <c r="A62" s="824"/>
      <c r="B62" s="822"/>
      <c r="C62" s="1349">
        <v>4</v>
      </c>
      <c r="D62" s="2478" t="s">
        <v>1147</v>
      </c>
      <c r="E62" s="2478"/>
      <c r="F62" s="2478"/>
      <c r="G62" s="2477"/>
      <c r="H62" s="2477"/>
      <c r="I62" s="2477"/>
      <c r="J62" s="2477"/>
      <c r="K62" s="2477"/>
      <c r="L62" s="2477"/>
      <c r="M62" s="2477"/>
      <c r="N62" s="2491"/>
      <c r="O62" s="2491"/>
      <c r="X62" s="672"/>
      <c r="Y62" s="672"/>
      <c r="Z62" s="672"/>
      <c r="AA62" s="672"/>
    </row>
    <row r="63" spans="1:27" s="349" customFormat="1" ht="18" customHeight="1">
      <c r="A63" s="824"/>
      <c r="B63" s="822"/>
      <c r="C63" s="1349">
        <v>5</v>
      </c>
      <c r="D63" s="2478" t="s">
        <v>150</v>
      </c>
      <c r="E63" s="2478"/>
      <c r="F63" s="2478"/>
      <c r="G63" s="2477"/>
      <c r="H63" s="2477"/>
      <c r="I63" s="2477"/>
      <c r="J63" s="2477"/>
      <c r="K63" s="2477"/>
      <c r="L63" s="2477"/>
      <c r="M63" s="2477"/>
      <c r="N63" s="2491"/>
      <c r="O63" s="2491"/>
      <c r="X63" s="672"/>
      <c r="Y63" s="672"/>
      <c r="Z63" s="672"/>
      <c r="AA63" s="672"/>
    </row>
    <row r="64" spans="1:27" s="349" customFormat="1" ht="18" customHeight="1">
      <c r="A64" s="824"/>
      <c r="B64" s="822"/>
      <c r="C64" s="1349">
        <v>6</v>
      </c>
      <c r="D64" s="2479" t="s">
        <v>168</v>
      </c>
      <c r="E64" s="2479"/>
      <c r="F64" s="2479"/>
      <c r="G64" s="2480"/>
      <c r="H64" s="2480"/>
      <c r="I64" s="2480"/>
      <c r="J64" s="2480"/>
      <c r="K64" s="2480"/>
      <c r="L64" s="2477"/>
      <c r="M64" s="2477"/>
      <c r="N64" s="2491"/>
      <c r="O64" s="2491"/>
      <c r="X64" s="672"/>
      <c r="Y64" s="672"/>
      <c r="Z64" s="672"/>
      <c r="AA64" s="672"/>
    </row>
    <row r="65" spans="1:27" s="349" customFormat="1" ht="18" customHeight="1">
      <c r="A65" s="824"/>
      <c r="B65" s="822"/>
      <c r="C65" s="2481" t="s">
        <v>232</v>
      </c>
      <c r="D65" s="2481"/>
      <c r="E65" s="2481"/>
      <c r="F65" s="2481"/>
      <c r="G65" s="2485"/>
      <c r="H65" s="2485"/>
      <c r="I65" s="2485"/>
      <c r="J65" s="2485"/>
      <c r="K65" s="2485"/>
      <c r="L65" s="2488"/>
      <c r="M65" s="2488"/>
      <c r="N65" s="2486"/>
      <c r="O65" s="2487"/>
      <c r="X65" s="672"/>
      <c r="Y65" s="672"/>
      <c r="Z65" s="672"/>
      <c r="AA65" s="672"/>
    </row>
    <row r="66" spans="1:27" s="349" customFormat="1" ht="33.75" customHeight="1">
      <c r="A66" s="824"/>
      <c r="B66" s="822"/>
      <c r="D66" s="2484" t="s">
        <v>1141</v>
      </c>
      <c r="E66" s="2484"/>
      <c r="F66" s="2484"/>
      <c r="G66" s="2484"/>
      <c r="H66" s="2484"/>
      <c r="I66" s="2484"/>
      <c r="J66" s="2484"/>
      <c r="K66" s="2484"/>
      <c r="L66" s="2484"/>
      <c r="M66" s="2484"/>
      <c r="N66" s="2484"/>
      <c r="O66" s="2484"/>
      <c r="X66" s="672"/>
      <c r="Y66" s="672"/>
      <c r="Z66" s="672"/>
      <c r="AA66" s="672"/>
    </row>
    <row r="67" spans="1:27" ht="18" customHeight="1">
      <c r="C67" s="559" t="s">
        <v>1144</v>
      </c>
      <c r="D67" s="559"/>
      <c r="E67" s="558"/>
      <c r="F67" s="558"/>
      <c r="G67" s="558"/>
      <c r="H67" s="558"/>
      <c r="I67" s="558"/>
      <c r="J67" s="558"/>
      <c r="K67" s="558"/>
      <c r="L67" s="558"/>
      <c r="M67" s="558"/>
      <c r="N67" s="558"/>
      <c r="O67" s="558"/>
    </row>
    <row r="68" spans="1:27" s="1337" customFormat="1" ht="33.75" customHeight="1">
      <c r="A68" s="825"/>
      <c r="B68" s="823"/>
      <c r="C68" s="560"/>
      <c r="D68" s="2482" t="s">
        <v>1142</v>
      </c>
      <c r="E68" s="2482"/>
      <c r="F68" s="2482"/>
      <c r="G68" s="2482"/>
      <c r="H68" s="2482"/>
      <c r="I68" s="2482"/>
      <c r="J68" s="2482"/>
      <c r="K68" s="2482"/>
      <c r="L68" s="2482"/>
      <c r="M68" s="2482"/>
      <c r="N68" s="2482"/>
      <c r="O68" s="2482"/>
      <c r="P68" s="558"/>
      <c r="Q68" s="558"/>
      <c r="R68" s="558"/>
      <c r="S68" s="558"/>
      <c r="T68" s="558"/>
      <c r="U68" s="558"/>
      <c r="V68" s="558"/>
      <c r="W68" s="558"/>
    </row>
    <row r="69" spans="1:27" ht="18" customHeight="1">
      <c r="C69" s="559" t="s">
        <v>1145</v>
      </c>
      <c r="D69" s="558"/>
      <c r="E69" s="558"/>
      <c r="F69" s="558"/>
      <c r="G69" s="558"/>
      <c r="H69" s="558"/>
      <c r="I69" s="558"/>
      <c r="J69" s="558"/>
      <c r="K69" s="558"/>
      <c r="L69" s="558"/>
      <c r="M69" s="558"/>
      <c r="N69" s="558"/>
      <c r="O69" s="558"/>
    </row>
    <row r="70" spans="1:27" ht="18" customHeight="1">
      <c r="C70" s="559"/>
      <c r="D70" s="558"/>
      <c r="E70" s="558"/>
      <c r="F70" s="558"/>
      <c r="G70" s="558"/>
      <c r="H70" s="558"/>
      <c r="I70" s="558"/>
      <c r="J70" s="558"/>
      <c r="K70" s="558"/>
      <c r="L70" s="558"/>
      <c r="M70" s="558"/>
      <c r="N70" s="558"/>
      <c r="O70" s="558"/>
    </row>
    <row r="71" spans="1:27" s="645" customFormat="1" ht="15" customHeight="1">
      <c r="A71" s="850"/>
      <c r="B71" s="821"/>
      <c r="C71" s="795"/>
      <c r="D71" s="795"/>
      <c r="E71" s="795"/>
      <c r="F71" s="795"/>
      <c r="G71" s="795"/>
      <c r="H71" s="795"/>
      <c r="I71" s="795"/>
      <c r="J71" s="795"/>
      <c r="K71" s="795"/>
      <c r="L71" s="795"/>
      <c r="M71" s="795"/>
      <c r="N71" s="795"/>
      <c r="O71" s="795"/>
      <c r="P71" s="284"/>
      <c r="Q71" s="284"/>
      <c r="R71" s="284"/>
      <c r="S71" s="284"/>
      <c r="T71" s="284"/>
      <c r="U71" s="284"/>
      <c r="V71" s="284"/>
      <c r="W71" s="284"/>
    </row>
    <row r="72" spans="1:27" ht="18" customHeight="1">
      <c r="C72" s="554" t="str">
        <f>"NGƯỜI "&amp;IF(S2=W2,"THẨM TRA","THẨM ĐỊNH")</f>
        <v>NGƯỜI THẨM ĐỊNH</v>
      </c>
      <c r="D72" s="796"/>
      <c r="E72" s="796"/>
      <c r="F72" s="796"/>
      <c r="G72" s="796"/>
      <c r="H72" s="554" t="s">
        <v>52</v>
      </c>
      <c r="I72" s="796"/>
      <c r="J72" s="554"/>
      <c r="K72" s="554"/>
      <c r="L72" s="554"/>
      <c r="M72" s="554"/>
      <c r="N72" s="554"/>
      <c r="O72" s="554"/>
    </row>
    <row r="73" spans="1:27" ht="18" customHeight="1">
      <c r="C73" s="2483" t="s">
        <v>1118</v>
      </c>
      <c r="D73" s="2483"/>
      <c r="E73" s="2483"/>
      <c r="F73" s="2483"/>
      <c r="G73" s="558"/>
      <c r="H73" s="558"/>
      <c r="I73" s="558"/>
      <c r="J73" s="2483" t="s">
        <v>1118</v>
      </c>
      <c r="K73" s="2483"/>
      <c r="L73" s="2483"/>
      <c r="M73" s="2483"/>
      <c r="N73" s="558"/>
      <c r="O73" s="558"/>
    </row>
    <row r="74" spans="1:27" ht="18" customHeight="1">
      <c r="C74" s="560"/>
      <c r="D74" s="558"/>
      <c r="E74" s="558"/>
      <c r="F74" s="558"/>
      <c r="G74" s="558"/>
      <c r="H74" s="558"/>
      <c r="I74" s="558"/>
      <c r="J74" s="558"/>
      <c r="K74" s="558"/>
      <c r="L74" s="558"/>
      <c r="M74" s="558"/>
      <c r="N74" s="558"/>
      <c r="O74" s="558"/>
    </row>
    <row r="75" spans="1:27" ht="18" customHeight="1">
      <c r="C75" s="561"/>
      <c r="D75" s="562"/>
      <c r="E75" s="561"/>
      <c r="F75" s="560" t="s">
        <v>513</v>
      </c>
      <c r="G75" s="558"/>
      <c r="H75" s="558"/>
      <c r="I75" s="558"/>
      <c r="J75" s="558"/>
      <c r="K75" s="558"/>
      <c r="L75" s="558"/>
      <c r="M75" s="558"/>
      <c r="N75" s="558"/>
      <c r="O75" s="558"/>
    </row>
    <row r="76" spans="1:27" ht="18" customHeight="1">
      <c r="C76" s="561"/>
      <c r="D76" s="562"/>
      <c r="E76" s="562"/>
      <c r="F76" s="558"/>
      <c r="G76" s="558"/>
      <c r="H76" s="558"/>
      <c r="I76" s="558"/>
      <c r="J76" s="558"/>
      <c r="K76" s="558"/>
      <c r="L76" s="558"/>
      <c r="M76" s="558"/>
      <c r="N76" s="558"/>
      <c r="O76" s="558"/>
    </row>
    <row r="77" spans="1:27" ht="18" customHeight="1">
      <c r="C77" s="561"/>
      <c r="D77" s="562"/>
      <c r="F77" s="558"/>
      <c r="G77" s="564"/>
      <c r="H77" s="317"/>
      <c r="I77" s="796"/>
      <c r="J77" s="317"/>
      <c r="K77" s="317"/>
      <c r="L77" s="317"/>
      <c r="M77" s="317"/>
      <c r="N77" s="317"/>
      <c r="O77" s="317"/>
    </row>
    <row r="78" spans="1:27" ht="18" customHeight="1">
      <c r="C78" s="560"/>
      <c r="D78" s="558"/>
      <c r="E78" s="558"/>
      <c r="F78" s="558"/>
      <c r="G78" s="558"/>
      <c r="H78" s="558"/>
      <c r="I78" s="558"/>
      <c r="J78" s="558"/>
      <c r="K78" s="558"/>
      <c r="L78" s="558"/>
      <c r="M78" s="558"/>
      <c r="N78" s="558"/>
      <c r="O78" s="558"/>
    </row>
    <row r="79" spans="1:27" ht="18" customHeight="1">
      <c r="D79" s="1348" t="s">
        <v>1143</v>
      </c>
      <c r="E79" s="558"/>
      <c r="G79" s="289" t="str">
        <f>"THỦ TRƯỞNG ĐƠN VỊ "&amp;IF(S2=W2,"THẨM TRA","THẨM ĐỊNH")</f>
        <v>THỦ TRƯỞNG ĐƠN VỊ THẨM ĐỊNH</v>
      </c>
      <c r="H79" s="796"/>
      <c r="I79" s="317"/>
      <c r="J79" s="317"/>
      <c r="K79" s="317"/>
      <c r="L79" s="317"/>
      <c r="M79" s="317"/>
      <c r="N79" s="317"/>
      <c r="O79" s="317"/>
    </row>
    <row r="80" spans="1:27" ht="18" customHeight="1">
      <c r="C80" s="565"/>
      <c r="D80" s="558"/>
      <c r="E80" s="558"/>
      <c r="F80" s="558"/>
      <c r="G80" s="558"/>
      <c r="H80" s="317"/>
      <c r="I80" s="317"/>
      <c r="J80" s="317"/>
      <c r="K80" s="317"/>
      <c r="L80" s="317"/>
      <c r="M80" s="317"/>
      <c r="N80" s="317"/>
      <c r="O80" s="317"/>
    </row>
    <row r="81" spans="1:27" ht="18" customHeight="1">
      <c r="C81" s="565"/>
      <c r="D81" s="558"/>
      <c r="E81" s="558"/>
      <c r="F81" s="558"/>
      <c r="G81" s="558"/>
      <c r="H81" s="317"/>
      <c r="I81" s="317"/>
      <c r="J81" s="317"/>
      <c r="K81" s="317"/>
      <c r="L81" s="317"/>
      <c r="M81" s="317"/>
      <c r="N81" s="317"/>
      <c r="O81" s="317"/>
    </row>
    <row r="82" spans="1:27" ht="18" customHeight="1">
      <c r="C82" s="565"/>
      <c r="D82" s="558"/>
      <c r="E82" s="558"/>
      <c r="F82" s="558"/>
      <c r="G82" s="558"/>
      <c r="H82" s="317"/>
      <c r="I82" s="317"/>
      <c r="J82" s="317"/>
      <c r="K82" s="317"/>
      <c r="L82" s="317"/>
      <c r="M82" s="317"/>
      <c r="N82" s="317"/>
      <c r="O82" s="317"/>
    </row>
    <row r="83" spans="1:27" ht="18" customHeight="1">
      <c r="C83" s="565"/>
      <c r="D83" s="558"/>
      <c r="E83" s="558"/>
      <c r="F83" s="558"/>
      <c r="G83" s="558"/>
      <c r="H83" s="317"/>
      <c r="I83" s="317"/>
      <c r="J83" s="317"/>
      <c r="K83" s="317"/>
      <c r="L83" s="317"/>
      <c r="M83" s="317"/>
      <c r="N83" s="317"/>
      <c r="O83" s="317"/>
    </row>
    <row r="84" spans="1:27" ht="18" customHeight="1">
      <c r="C84" s="558"/>
      <c r="D84" s="558"/>
      <c r="E84" s="558"/>
      <c r="F84" s="558"/>
      <c r="G84" s="289" t="s">
        <v>518</v>
      </c>
      <c r="H84" s="796"/>
      <c r="I84" s="317"/>
      <c r="J84" s="317"/>
      <c r="K84" s="317"/>
      <c r="L84" s="317"/>
      <c r="M84" s="317"/>
      <c r="N84" s="317"/>
      <c r="O84" s="317"/>
    </row>
    <row r="85" spans="1:27" s="349" customFormat="1" ht="18" customHeight="1">
      <c r="A85" s="824"/>
      <c r="B85" s="822"/>
      <c r="C85" s="822"/>
      <c r="D85" s="822"/>
      <c r="E85" s="822"/>
      <c r="F85" s="822"/>
      <c r="G85" s="822"/>
      <c r="H85" s="822"/>
      <c r="I85" s="822"/>
      <c r="J85" s="822"/>
      <c r="K85" s="822"/>
      <c r="L85" s="822"/>
      <c r="M85" s="822"/>
      <c r="N85" s="822"/>
      <c r="O85" s="822"/>
      <c r="X85" s="672"/>
      <c r="Y85" s="672"/>
      <c r="Z85" s="672"/>
      <c r="AA85" s="672"/>
    </row>
    <row r="86" spans="1:27" s="349" customFormat="1" ht="18" customHeight="1">
      <c r="A86" s="824"/>
      <c r="B86" s="822"/>
      <c r="C86" s="822"/>
      <c r="D86" s="822"/>
      <c r="E86" s="822"/>
      <c r="F86" s="822"/>
      <c r="G86" s="822"/>
      <c r="H86" s="822"/>
      <c r="I86" s="822"/>
      <c r="J86" s="822"/>
      <c r="K86" s="822"/>
      <c r="L86" s="822"/>
      <c r="M86" s="822"/>
      <c r="N86" s="822"/>
      <c r="O86" s="822"/>
      <c r="X86" s="672"/>
      <c r="Y86" s="672"/>
      <c r="Z86" s="672"/>
      <c r="AA86" s="672"/>
    </row>
    <row r="87" spans="1:27" s="349" customFormat="1" ht="18" customHeight="1">
      <c r="A87" s="824"/>
      <c r="B87" s="822"/>
      <c r="C87" s="822"/>
      <c r="D87" s="822"/>
      <c r="E87" s="822"/>
      <c r="F87" s="822"/>
      <c r="G87" s="822"/>
      <c r="H87" s="822"/>
      <c r="I87" s="822"/>
      <c r="J87" s="822"/>
      <c r="K87" s="822"/>
      <c r="L87" s="822"/>
      <c r="M87" s="822"/>
      <c r="N87" s="822"/>
      <c r="O87" s="822"/>
      <c r="X87" s="672"/>
      <c r="Y87" s="672"/>
      <c r="Z87" s="672"/>
      <c r="AA87" s="672"/>
    </row>
    <row r="88" spans="1:27" s="349" customFormat="1" ht="18" customHeight="1">
      <c r="A88" s="824"/>
      <c r="B88" s="822"/>
      <c r="C88" s="822"/>
      <c r="D88" s="822"/>
      <c r="E88" s="822"/>
      <c r="F88" s="822"/>
      <c r="G88" s="822"/>
      <c r="H88" s="822"/>
      <c r="I88" s="822"/>
      <c r="J88" s="822"/>
      <c r="K88" s="822"/>
      <c r="L88" s="822"/>
      <c r="M88" s="822"/>
      <c r="N88" s="822"/>
      <c r="O88" s="822"/>
      <c r="X88" s="672"/>
      <c r="Y88" s="672"/>
      <c r="Z88" s="672"/>
      <c r="AA88" s="672"/>
    </row>
    <row r="89" spans="1:27" s="349" customFormat="1" ht="18" customHeight="1">
      <c r="A89" s="824"/>
      <c r="B89" s="822"/>
      <c r="C89" s="822"/>
      <c r="D89" s="822"/>
      <c r="E89" s="822"/>
      <c r="F89" s="822"/>
      <c r="G89" s="822"/>
      <c r="H89" s="822"/>
      <c r="I89" s="822"/>
      <c r="J89" s="822"/>
      <c r="K89" s="822"/>
      <c r="L89" s="822"/>
      <c r="M89" s="822"/>
      <c r="N89" s="822"/>
      <c r="O89" s="822"/>
      <c r="X89" s="672"/>
      <c r="Y89" s="672"/>
      <c r="Z89" s="672"/>
      <c r="AA89" s="672"/>
    </row>
    <row r="90" spans="1:27" s="349" customFormat="1" ht="18" customHeight="1">
      <c r="A90" s="824"/>
      <c r="B90" s="822"/>
      <c r="C90" s="822"/>
      <c r="D90" s="822"/>
      <c r="E90" s="822"/>
      <c r="F90" s="822"/>
      <c r="G90" s="822"/>
      <c r="H90" s="822"/>
      <c r="I90" s="822"/>
      <c r="J90" s="822"/>
      <c r="K90" s="822"/>
      <c r="L90" s="822"/>
      <c r="M90" s="822"/>
      <c r="N90" s="822"/>
      <c r="O90" s="822"/>
      <c r="X90" s="672"/>
      <c r="Y90" s="672"/>
      <c r="Z90" s="672"/>
      <c r="AA90" s="672"/>
    </row>
    <row r="91" spans="1:27" s="349" customFormat="1" ht="18" customHeight="1">
      <c r="A91" s="824"/>
      <c r="B91" s="822"/>
      <c r="C91" s="822"/>
      <c r="D91" s="822"/>
      <c r="E91" s="822"/>
      <c r="F91" s="822"/>
      <c r="G91" s="822"/>
      <c r="H91" s="822"/>
      <c r="I91" s="822"/>
      <c r="J91" s="822"/>
      <c r="K91" s="822"/>
      <c r="L91" s="822"/>
      <c r="M91" s="822"/>
      <c r="N91" s="822"/>
      <c r="O91" s="822"/>
      <c r="X91" s="672"/>
      <c r="Y91" s="672"/>
      <c r="Z91" s="672"/>
      <c r="AA91" s="672"/>
    </row>
    <row r="92" spans="1:27" s="349" customFormat="1">
      <c r="A92" s="824"/>
      <c r="B92" s="822"/>
      <c r="C92" s="822"/>
      <c r="D92" s="822"/>
      <c r="E92" s="822"/>
      <c r="F92" s="822"/>
      <c r="G92" s="822"/>
      <c r="H92" s="822"/>
      <c r="I92" s="822"/>
      <c r="J92" s="822"/>
      <c r="K92" s="822"/>
      <c r="L92" s="822"/>
      <c r="M92" s="822"/>
      <c r="N92" s="822"/>
      <c r="O92" s="822"/>
      <c r="X92" s="672"/>
      <c r="Y92" s="672"/>
      <c r="Z92" s="672"/>
      <c r="AA92" s="672"/>
    </row>
    <row r="93" spans="1:27" s="349" customFormat="1">
      <c r="A93" s="824"/>
      <c r="B93" s="822"/>
      <c r="C93" s="822"/>
      <c r="D93" s="822"/>
      <c r="E93" s="822"/>
      <c r="F93" s="822"/>
      <c r="G93" s="822"/>
      <c r="H93" s="822"/>
      <c r="I93" s="822"/>
      <c r="J93" s="822"/>
      <c r="K93" s="822"/>
      <c r="L93" s="822"/>
      <c r="M93" s="822"/>
      <c r="N93" s="822"/>
      <c r="O93" s="822"/>
      <c r="X93" s="672"/>
      <c r="Y93" s="672"/>
      <c r="Z93" s="672"/>
      <c r="AA93" s="672"/>
    </row>
    <row r="94" spans="1:27" s="349" customFormat="1">
      <c r="A94" s="824"/>
      <c r="B94" s="822"/>
      <c r="C94" s="822"/>
      <c r="D94" s="822"/>
      <c r="E94" s="822"/>
      <c r="F94" s="822"/>
      <c r="G94" s="822"/>
      <c r="H94" s="822"/>
      <c r="I94" s="822"/>
      <c r="J94" s="822"/>
      <c r="K94" s="822"/>
      <c r="L94" s="822"/>
      <c r="M94" s="822"/>
      <c r="N94" s="822"/>
      <c r="O94" s="822"/>
      <c r="X94" s="672"/>
      <c r="Y94" s="672"/>
      <c r="Z94" s="672"/>
      <c r="AA94" s="672"/>
    </row>
    <row r="95" spans="1:27" s="349" customFormat="1">
      <c r="A95" s="824"/>
      <c r="B95" s="822"/>
      <c r="C95" s="822"/>
      <c r="D95" s="822"/>
      <c r="E95" s="822"/>
      <c r="F95" s="822"/>
      <c r="G95" s="822"/>
      <c r="H95" s="822"/>
      <c r="I95" s="822"/>
      <c r="J95" s="822"/>
      <c r="K95" s="822"/>
      <c r="L95" s="822"/>
      <c r="M95" s="822"/>
      <c r="N95" s="822"/>
      <c r="O95" s="822"/>
      <c r="X95" s="672"/>
      <c r="Y95" s="672"/>
      <c r="Z95" s="672"/>
      <c r="AA95" s="672"/>
    </row>
    <row r="96" spans="1:27" s="349" customFormat="1">
      <c r="A96" s="824"/>
      <c r="B96" s="822"/>
      <c r="C96" s="822"/>
      <c r="D96" s="822"/>
      <c r="E96" s="822"/>
      <c r="F96" s="822"/>
      <c r="G96" s="822"/>
      <c r="H96" s="822"/>
      <c r="I96" s="822"/>
      <c r="J96" s="822"/>
      <c r="K96" s="822"/>
      <c r="L96" s="822"/>
      <c r="M96" s="822"/>
      <c r="N96" s="822"/>
      <c r="O96" s="822"/>
      <c r="X96" s="672"/>
      <c r="Y96" s="672"/>
      <c r="Z96" s="672"/>
      <c r="AA96" s="672"/>
    </row>
    <row r="97" spans="1:27" s="349" customFormat="1">
      <c r="A97" s="824"/>
      <c r="B97" s="822"/>
      <c r="C97" s="822"/>
      <c r="D97" s="822"/>
      <c r="E97" s="822"/>
      <c r="F97" s="822"/>
      <c r="G97" s="822"/>
      <c r="H97" s="822"/>
      <c r="I97" s="822"/>
      <c r="J97" s="822"/>
      <c r="K97" s="822"/>
      <c r="L97" s="822"/>
      <c r="M97" s="822"/>
      <c r="N97" s="822"/>
      <c r="O97" s="822"/>
      <c r="X97" s="672"/>
      <c r="Y97" s="672"/>
      <c r="Z97" s="672"/>
      <c r="AA97" s="672"/>
    </row>
    <row r="98" spans="1:27" s="349" customFormat="1">
      <c r="A98" s="824"/>
      <c r="B98" s="822"/>
      <c r="C98" s="822"/>
      <c r="D98" s="822"/>
      <c r="E98" s="822"/>
      <c r="F98" s="822"/>
      <c r="G98" s="822"/>
      <c r="H98" s="822"/>
      <c r="I98" s="822"/>
      <c r="J98" s="822"/>
      <c r="K98" s="822"/>
      <c r="L98" s="822"/>
      <c r="M98" s="822"/>
      <c r="N98" s="822"/>
      <c r="O98" s="822"/>
      <c r="X98" s="672"/>
      <c r="Y98" s="672"/>
      <c r="Z98" s="672"/>
      <c r="AA98" s="672"/>
    </row>
    <row r="99" spans="1:27" s="349" customFormat="1">
      <c r="A99" s="824"/>
      <c r="B99" s="822"/>
      <c r="C99" s="822"/>
      <c r="D99" s="822"/>
      <c r="E99" s="822"/>
      <c r="F99" s="822"/>
      <c r="G99" s="822"/>
      <c r="H99" s="822"/>
      <c r="I99" s="822"/>
      <c r="J99" s="822"/>
      <c r="K99" s="822"/>
      <c r="L99" s="822"/>
      <c r="M99" s="822"/>
      <c r="N99" s="822"/>
      <c r="O99" s="822"/>
      <c r="X99" s="672"/>
      <c r="Y99" s="672"/>
      <c r="Z99" s="672"/>
      <c r="AA99" s="672"/>
    </row>
    <row r="100" spans="1:27" s="349" customFormat="1">
      <c r="A100" s="824"/>
      <c r="B100" s="822"/>
      <c r="C100" s="822"/>
      <c r="D100" s="822"/>
      <c r="E100" s="822"/>
      <c r="F100" s="822"/>
      <c r="G100" s="822"/>
      <c r="H100" s="822"/>
      <c r="I100" s="822"/>
      <c r="J100" s="822"/>
      <c r="K100" s="822"/>
      <c r="L100" s="822"/>
      <c r="M100" s="822"/>
      <c r="N100" s="822"/>
      <c r="O100" s="822"/>
      <c r="X100" s="672"/>
      <c r="Y100" s="672"/>
      <c r="Z100" s="672"/>
      <c r="AA100" s="672"/>
    </row>
    <row r="101" spans="1:27" s="349" customFormat="1">
      <c r="A101" s="824"/>
      <c r="B101" s="822"/>
      <c r="C101" s="822"/>
      <c r="D101" s="822"/>
      <c r="E101" s="822"/>
      <c r="F101" s="822"/>
      <c r="G101" s="822"/>
      <c r="H101" s="822"/>
      <c r="I101" s="822"/>
      <c r="J101" s="822"/>
      <c r="K101" s="822"/>
      <c r="L101" s="822"/>
      <c r="M101" s="822"/>
      <c r="N101" s="822"/>
      <c r="O101" s="822"/>
      <c r="X101" s="672"/>
      <c r="Y101" s="672"/>
      <c r="Z101" s="672"/>
      <c r="AA101" s="672"/>
    </row>
    <row r="102" spans="1:27" s="349" customFormat="1">
      <c r="A102" s="824"/>
      <c r="B102" s="822"/>
      <c r="C102" s="822"/>
      <c r="D102" s="822"/>
      <c r="E102" s="822"/>
      <c r="F102" s="822"/>
      <c r="G102" s="822"/>
      <c r="H102" s="822"/>
      <c r="I102" s="822"/>
      <c r="J102" s="822"/>
      <c r="K102" s="822"/>
      <c r="L102" s="822"/>
      <c r="M102" s="822"/>
      <c r="N102" s="822"/>
      <c r="O102" s="822"/>
      <c r="X102" s="672"/>
      <c r="Y102" s="672"/>
      <c r="Z102" s="672"/>
      <c r="AA102" s="672"/>
    </row>
    <row r="103" spans="1:27" s="349" customFormat="1">
      <c r="A103" s="824"/>
      <c r="B103" s="822"/>
      <c r="C103" s="822"/>
      <c r="D103" s="822"/>
      <c r="E103" s="822"/>
      <c r="F103" s="822"/>
      <c r="G103" s="822"/>
      <c r="H103" s="822"/>
      <c r="I103" s="822"/>
      <c r="J103" s="822"/>
      <c r="K103" s="822"/>
      <c r="L103" s="822"/>
      <c r="M103" s="822"/>
      <c r="N103" s="822"/>
      <c r="O103" s="822"/>
      <c r="X103" s="672"/>
      <c r="Y103" s="672"/>
      <c r="Z103" s="672"/>
      <c r="AA103" s="672"/>
    </row>
  </sheetData>
  <mergeCells count="82">
    <mergeCell ref="L64:M64"/>
    <mergeCell ref="I60:K60"/>
    <mergeCell ref="I61:K61"/>
    <mergeCell ref="N62:O62"/>
    <mergeCell ref="I59:K59"/>
    <mergeCell ref="N63:O63"/>
    <mergeCell ref="N64:O64"/>
    <mergeCell ref="I64:K64"/>
    <mergeCell ref="N60:O60"/>
    <mergeCell ref="L60:M60"/>
    <mergeCell ref="L61:M61"/>
    <mergeCell ref="I62:K62"/>
    <mergeCell ref="I63:K63"/>
    <mergeCell ref="N61:O61"/>
    <mergeCell ref="L62:M62"/>
    <mergeCell ref="L63:M63"/>
    <mergeCell ref="D46:O46"/>
    <mergeCell ref="D47:O47"/>
    <mergeCell ref="D48:O48"/>
    <mergeCell ref="D49:O49"/>
    <mergeCell ref="D50:O50"/>
    <mergeCell ref="D51:O51"/>
    <mergeCell ref="L58:M58"/>
    <mergeCell ref="N58:O58"/>
    <mergeCell ref="L59:M59"/>
    <mergeCell ref="N59:O59"/>
    <mergeCell ref="D58:F58"/>
    <mergeCell ref="G58:H58"/>
    <mergeCell ref="D52:O52"/>
    <mergeCell ref="D53:O53"/>
    <mergeCell ref="D54:O54"/>
    <mergeCell ref="D56:O56"/>
    <mergeCell ref="I58:K58"/>
    <mergeCell ref="D68:O68"/>
    <mergeCell ref="C73:F73"/>
    <mergeCell ref="J73:M73"/>
    <mergeCell ref="D66:O66"/>
    <mergeCell ref="G65:H65"/>
    <mergeCell ref="N65:O65"/>
    <mergeCell ref="L65:M65"/>
    <mergeCell ref="I65:K65"/>
    <mergeCell ref="G63:H63"/>
    <mergeCell ref="D64:F64"/>
    <mergeCell ref="G64:H64"/>
    <mergeCell ref="D63:F63"/>
    <mergeCell ref="C65:F65"/>
    <mergeCell ref="G61:H61"/>
    <mergeCell ref="G62:H62"/>
    <mergeCell ref="D59:F59"/>
    <mergeCell ref="G59:H59"/>
    <mergeCell ref="G60:H60"/>
    <mergeCell ref="D60:F60"/>
    <mergeCell ref="D61:F61"/>
    <mergeCell ref="D62:F62"/>
    <mergeCell ref="D38:O38"/>
    <mergeCell ref="D40:O40"/>
    <mergeCell ref="D42:O42"/>
    <mergeCell ref="D43:O43"/>
    <mergeCell ref="D44:O44"/>
    <mergeCell ref="D36:O36"/>
    <mergeCell ref="D28:O28"/>
    <mergeCell ref="D29:O29"/>
    <mergeCell ref="D30:O30"/>
    <mergeCell ref="D18:O18"/>
    <mergeCell ref="D19:O19"/>
    <mergeCell ref="D20:O20"/>
    <mergeCell ref="D21:O21"/>
    <mergeCell ref="D22:O22"/>
    <mergeCell ref="D31:O31"/>
    <mergeCell ref="D32:O32"/>
    <mergeCell ref="D33:O33"/>
    <mergeCell ref="D34:O34"/>
    <mergeCell ref="D35:O35"/>
    <mergeCell ref="D17:O17"/>
    <mergeCell ref="D25:O25"/>
    <mergeCell ref="D26:O26"/>
    <mergeCell ref="D27:O27"/>
    <mergeCell ref="C4:G6"/>
    <mergeCell ref="D12:O12"/>
    <mergeCell ref="D14:O14"/>
    <mergeCell ref="D15:O15"/>
    <mergeCell ref="D16:O16"/>
  </mergeCells>
  <dataValidations disablePrompts="1" count="1">
    <dataValidation type="list" allowBlank="1" showInputMessage="1" showErrorMessage="1" sqref="R2">
      <formula1>$V$2:$V$4</formula1>
    </dataValidation>
  </dataValidations>
  <printOptions horizontalCentered="1"/>
  <pageMargins left="0.75" right="0.25" top="0.5" bottom="0.5" header="0.25" footer="0.25"/>
  <pageSetup paperSize="9" orientation="portrait" horizontalDpi="300" verticalDpi="300" r:id="rId1"/>
  <headerFooter>
    <oddFooter>&amp;C&amp;P</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dimension ref="A1:AA117"/>
  <sheetViews>
    <sheetView topLeftCell="B1" zoomScaleSheetLayoutView="100" workbookViewId="0">
      <selection activeCell="L7" sqref="L7"/>
    </sheetView>
  </sheetViews>
  <sheetFormatPr defaultColWidth="9.140625" defaultRowHeight="15"/>
  <cols>
    <col min="1" max="1" width="6" style="824" customWidth="1"/>
    <col min="2" max="2" width="10" style="822" customWidth="1"/>
    <col min="3" max="3" width="4.42578125" style="349" customWidth="1"/>
    <col min="4" max="6" width="9.42578125" style="349" customWidth="1"/>
    <col min="7" max="7" width="5.85546875" style="349" customWidth="1"/>
    <col min="8" max="15" width="6.5703125" style="349" customWidth="1"/>
    <col min="16" max="16" width="9.140625" style="349"/>
    <col min="17" max="17" width="9.85546875" style="349" customWidth="1"/>
    <col min="18" max="18" width="23.5703125" style="349" customWidth="1"/>
    <col min="19" max="19" width="10" style="349" customWidth="1"/>
    <col min="20" max="21" width="9.140625" style="349" customWidth="1"/>
    <col min="22" max="22" width="12.5703125" style="349" customWidth="1"/>
    <col min="23" max="23" width="9.140625" style="349" customWidth="1"/>
    <col min="24" max="25" width="9.140625" style="672" customWidth="1"/>
    <col min="26" max="26" width="255.5703125" style="672" bestFit="1" customWidth="1"/>
    <col min="27" max="28" width="9.140625" style="672" customWidth="1"/>
    <col min="29" max="16384" width="9.140625" style="672"/>
  </cols>
  <sheetData>
    <row r="1" spans="2:27" ht="18" customHeight="1">
      <c r="B1" s="848"/>
      <c r="C1" s="554" t="s">
        <v>1146</v>
      </c>
      <c r="D1" s="554"/>
      <c r="E1" s="554"/>
      <c r="F1" s="554"/>
      <c r="G1" s="554"/>
      <c r="H1" s="554" t="s">
        <v>504</v>
      </c>
      <c r="I1" s="554"/>
      <c r="J1" s="554"/>
      <c r="K1" s="554"/>
      <c r="L1" s="554"/>
      <c r="M1" s="554"/>
      <c r="N1" s="554"/>
      <c r="O1" s="554"/>
      <c r="P1" s="1334" t="s">
        <v>147</v>
      </c>
      <c r="Q1" s="1335"/>
      <c r="R1" s="1335"/>
      <c r="S1" s="1335"/>
      <c r="T1" s="1335"/>
      <c r="U1" s="1335"/>
      <c r="V1" s="1335"/>
      <c r="W1" s="1335"/>
    </row>
    <row r="2" spans="2:27" ht="18" customHeight="1">
      <c r="C2" s="566" t="s">
        <v>505</v>
      </c>
      <c r="D2" s="350"/>
      <c r="E2" s="350"/>
      <c r="F2" s="566"/>
      <c r="G2" s="350"/>
      <c r="H2" s="289" t="s">
        <v>1081</v>
      </c>
      <c r="I2" s="796"/>
      <c r="J2" s="554"/>
      <c r="K2" s="554"/>
      <c r="L2" s="554"/>
      <c r="M2" s="554"/>
      <c r="N2" s="554"/>
      <c r="O2" s="554"/>
      <c r="P2" s="1336"/>
      <c r="Q2" s="349" t="s">
        <v>506</v>
      </c>
      <c r="R2" s="349" t="s">
        <v>515</v>
      </c>
      <c r="S2" s="349" t="str">
        <f>VLOOKUP($R$2,$V$2:$W$4,2,0)</f>
        <v>c</v>
      </c>
      <c r="T2" s="349" t="s">
        <v>507</v>
      </c>
      <c r="V2" s="349" t="s">
        <v>515</v>
      </c>
      <c r="W2" s="349" t="s">
        <v>507</v>
      </c>
      <c r="X2" s="672" t="s">
        <v>516</v>
      </c>
      <c r="Y2" s="1336" t="s">
        <v>509</v>
      </c>
      <c r="Z2" s="558" t="str">
        <f>"Thực hiện nhiệm vụ của "&amp;Ts!K7&amp;" giao "&amp;Ts!K11&amp;" về việc thẩm định dự toán xây dựng công trình "&amp;Ts!K6&amp;". Sau khi nghiên cứu hồ sơ "&amp;Ts!K11&amp;" có ý kiến như sau:"</f>
        <v>Thực hiện nhiệm vụ của  giao  về việc thẩm định dự toán xây dựng công trình . Sau khi nghiên cứu hồ sơ  có ý kiến như sau:</v>
      </c>
      <c r="AA2" s="558" t="s">
        <v>512</v>
      </c>
    </row>
    <row r="3" spans="2:27" ht="18" customHeight="1">
      <c r="C3" s="567" t="s">
        <v>778</v>
      </c>
      <c r="D3" s="797"/>
      <c r="E3" s="797"/>
      <c r="F3" s="797"/>
      <c r="G3" s="797"/>
      <c r="P3" s="350"/>
      <c r="V3" s="349" t="s">
        <v>508</v>
      </c>
      <c r="W3" s="349" t="s">
        <v>509</v>
      </c>
      <c r="X3" s="672" t="s">
        <v>517</v>
      </c>
      <c r="Y3" s="1336" t="s">
        <v>511</v>
      </c>
      <c r="Z3" s="558" t="str">
        <f>"Theo đề nghị của "&amp;Ts!K7&amp;" về việc thẩm định dự toán xây dựng công trình "&amp;Ts!K4&amp;" . Sau khi nghiên cứu hồ sơ "&amp;Ts!K11&amp;" có ý kiến như sau:"</f>
        <v>Theo đề nghị của  về việc thẩm định dự toán xây dựng công trình NHÀ 01 TẦNG, TƯỜNG CHỊU LỰC 110MM, MÁI LỢP FIBRÔXIMĂNG, KHÔNG CÓ KHU VỆ SINH KHÉP KÍN . Sau khi nghiên cứu hồ sơ  có ý kiến như sau:</v>
      </c>
      <c r="AA3" s="558" t="s">
        <v>512</v>
      </c>
    </row>
    <row r="4" spans="2:27" ht="18" customHeight="1">
      <c r="C4" s="2472" t="str">
        <f>"V/v: Kết quả "&amp;IF(S2=W2,"Thẩm tra","Thẩm định")&amp;" dự toán xây dựng công trình "&amp;Ts!K4</f>
        <v>V/v: Kết quả Thẩm tra dự toán xây dựng công trình NHÀ 01 TẦNG, TƯỜNG CHỊU LỰC 110MM, MÁI LỢP FIBRÔXIMĂNG, KHÔNG CÓ KHU VỆ SINH KHÉP KÍN</v>
      </c>
      <c r="D4" s="2473"/>
      <c r="E4" s="2473"/>
      <c r="F4" s="2473"/>
      <c r="G4" s="2473"/>
      <c r="O4" s="555" t="s">
        <v>1082</v>
      </c>
      <c r="V4" s="349" t="s">
        <v>510</v>
      </c>
      <c r="W4" s="349" t="s">
        <v>511</v>
      </c>
      <c r="X4" s="672" t="s">
        <v>517</v>
      </c>
      <c r="Y4" s="1336" t="s">
        <v>507</v>
      </c>
      <c r="Z4" s="558" t="str">
        <f>"Theo hợp đồng kinh tế số "&amp;Ts!K10&amp;" ký giữa "&amp;Ts!K7&amp;" và " &amp;Ts!K9&amp;" về việc thẩm tra dự toán xây dựng công trình "&amp;Ts!K4&amp;". Sau khi nghiên cứu hồ sơ "&amp;Ts!K9&amp;" có ý kiến như sau:"</f>
        <v>Theo hợp đồng kinh tế số  ký giữa  và  về việc thẩm tra dự toán xây dựng công trình NHÀ 01 TẦNG, TƯỜNG CHỊU LỰC 110MM, MÁI LỢP FIBRÔXIMĂNG, KHÔNG CÓ KHU VỆ SINH KHÉP KÍN. Sau khi nghiên cứu hồ sơ  có ý kiến như sau:</v>
      </c>
      <c r="AA4" s="558" t="s">
        <v>515</v>
      </c>
    </row>
    <row r="5" spans="2:27" ht="18" customHeight="1">
      <c r="C5" s="2473"/>
      <c r="D5" s="2473"/>
      <c r="E5" s="2473"/>
      <c r="F5" s="2473"/>
      <c r="G5" s="2473"/>
    </row>
    <row r="6" spans="2:27" ht="18" customHeight="1">
      <c r="C6" s="2473"/>
      <c r="D6" s="2473"/>
      <c r="E6" s="2473"/>
      <c r="F6" s="2473"/>
      <c r="G6" s="2473"/>
    </row>
    <row r="7" spans="2:27" ht="18" customHeight="1">
      <c r="C7" s="556" t="str">
        <f>"BÁO CÁO KẾT QUẢ "&amp;IF(S2=W2,"THẨM TRA","THẨM ĐỊNH")</f>
        <v>BÁO CÁO KẾT QUẢ THẨM TRA</v>
      </c>
      <c r="D7" s="317"/>
      <c r="E7" s="317"/>
      <c r="F7" s="317"/>
      <c r="G7" s="317"/>
      <c r="H7" s="317"/>
      <c r="I7" s="317"/>
      <c r="J7" s="317"/>
      <c r="K7" s="317"/>
      <c r="L7" s="317"/>
      <c r="M7" s="317"/>
      <c r="N7" s="317"/>
      <c r="O7" s="317"/>
    </row>
    <row r="8" spans="2:27" ht="18" customHeight="1">
      <c r="C8" s="556" t="s">
        <v>202</v>
      </c>
      <c r="D8" s="317"/>
      <c r="E8" s="317"/>
      <c r="F8" s="317"/>
      <c r="G8" s="317"/>
      <c r="H8" s="317"/>
      <c r="I8" s="317"/>
      <c r="J8" s="317"/>
      <c r="K8" s="317"/>
      <c r="L8" s="317"/>
      <c r="M8" s="317"/>
      <c r="N8" s="317"/>
      <c r="O8" s="317"/>
    </row>
    <row r="9" spans="2:27" ht="18" customHeight="1">
      <c r="C9" s="317" t="str">
        <f>"Công trình: "&amp;Ts!$K$4&amp;""</f>
        <v>Công trình: NHÀ 01 TẦNG, TƯỜNG CHỊU LỰC 110MM, MÁI LỢP FIBRÔXIMĂNG, KHÔNG CÓ KHU VỆ SINH KHÉP KÍN</v>
      </c>
      <c r="D9" s="317"/>
      <c r="E9" s="317"/>
      <c r="F9" s="317"/>
      <c r="G9" s="317"/>
      <c r="H9" s="317"/>
      <c r="I9" s="317"/>
      <c r="J9" s="317"/>
      <c r="K9" s="317"/>
      <c r="L9" s="317"/>
      <c r="M9" s="317"/>
      <c r="N9" s="317"/>
      <c r="O9" s="317"/>
    </row>
    <row r="10" spans="2:27" ht="18" customHeight="1">
      <c r="C10" s="317" t="str">
        <f>"Địa điểm: "&amp;Ts!$K$6&amp;""</f>
        <v xml:space="preserve">Địa điểm: </v>
      </c>
      <c r="D10" s="317"/>
      <c r="E10" s="317"/>
      <c r="F10" s="317"/>
      <c r="G10" s="317"/>
      <c r="H10" s="317"/>
      <c r="I10" s="317"/>
      <c r="J10" s="317"/>
      <c r="K10" s="317"/>
      <c r="L10" s="317"/>
      <c r="M10" s="317"/>
      <c r="N10" s="317"/>
      <c r="O10" s="317"/>
    </row>
    <row r="11" spans="2:27" ht="35.25" customHeight="1">
      <c r="C11" s="557" t="str">
        <f>"Kính gửi: "&amp;Ts!K7</f>
        <v xml:space="preserve">Kính gửi: </v>
      </c>
      <c r="D11" s="317"/>
      <c r="E11" s="317"/>
      <c r="F11" s="317"/>
      <c r="G11" s="317"/>
      <c r="H11" s="317"/>
      <c r="I11" s="317"/>
      <c r="J11" s="317"/>
      <c r="K11" s="317"/>
      <c r="L11" s="317"/>
      <c r="M11" s="317"/>
      <c r="N11" s="317"/>
      <c r="O11" s="317"/>
    </row>
    <row r="12" spans="2:27" ht="63.75" customHeight="1">
      <c r="C12" s="558"/>
      <c r="D12" s="2474" t="str">
        <f>"Theo đề nghị của "&amp;Ts!K7&amp;" về việc thẩm tra dự toán xây dựng công trình "&amp;Ts!K4&amp;" và hợp đồng "&amp;Ts!K10&amp;". Sau khi nghiên cứu hồ sơ, "&amp;" ĐƠN VỊ THẨM TRA có ý kiến như sau:"</f>
        <v>Theo đề nghị của  về việc thẩm tra dự toán xây dựng công trình NHÀ 01 TẦNG, TƯỜNG CHỊU LỰC 110MM, MÁI LỢP FIBRÔXIMĂNG, KHÔNG CÓ KHU VỆ SINH KHÉP KÍN và hợp đồng . Sau khi nghiên cứu hồ sơ,  ĐƠN VỊ THẨM TRA có ý kiến như sau:</v>
      </c>
      <c r="E12" s="2474"/>
      <c r="F12" s="2474"/>
      <c r="G12" s="2474"/>
      <c r="H12" s="2474"/>
      <c r="I12" s="2474"/>
      <c r="J12" s="2474"/>
      <c r="K12" s="2474"/>
      <c r="L12" s="2474"/>
      <c r="M12" s="2474"/>
      <c r="N12" s="2474"/>
      <c r="O12" s="2474"/>
    </row>
    <row r="13" spans="2:27" ht="18" customHeight="1">
      <c r="C13" s="559" t="s">
        <v>1045</v>
      </c>
      <c r="D13" s="559" t="s">
        <v>1046</v>
      </c>
      <c r="E13" s="558"/>
      <c r="F13" s="558"/>
      <c r="G13" s="558"/>
      <c r="H13" s="558"/>
      <c r="I13" s="558"/>
      <c r="J13" s="558"/>
      <c r="K13" s="558"/>
      <c r="L13" s="558"/>
      <c r="M13" s="558"/>
      <c r="N13" s="558"/>
      <c r="O13" s="558"/>
      <c r="Q13" s="558"/>
      <c r="R13" s="558"/>
      <c r="S13" s="558"/>
      <c r="T13" s="558"/>
      <c r="U13" s="558"/>
      <c r="V13" s="558"/>
      <c r="W13" s="558"/>
    </row>
    <row r="14" spans="2:27" ht="36" customHeight="1">
      <c r="C14" s="558"/>
      <c r="D14" s="2470" t="str">
        <f>"- Tên Dự án: "&amp;Ts!K3</f>
        <v>- Tên Dự án: ĐIỀU CHỈNH, BỔ SUNG, ĐƠN GIÁ XÂY DỰNG CỦA MỘT SỐ LOẠI CÔNG TRÌNH ĐỂ XÁC ĐỊNH GIÁ TRỊ BỒI
THƯỜNG ĐỐI VỚI NHÀ Ở, CÔNG TRÌNH PHẢI THÁO DỠ KHI NHÀ NƯỚC THU HỒI ĐẤT TRÊN ĐỊA BÀN TỈNH SƠN LA</v>
      </c>
      <c r="E14" s="2470"/>
      <c r="F14" s="2470"/>
      <c r="G14" s="2470"/>
      <c r="H14" s="2470"/>
      <c r="I14" s="2470"/>
      <c r="J14" s="2470"/>
      <c r="K14" s="2470"/>
      <c r="L14" s="2470"/>
      <c r="M14" s="2470"/>
      <c r="N14" s="2470"/>
      <c r="O14" s="2470"/>
      <c r="R14" s="558"/>
      <c r="S14" s="558"/>
      <c r="T14" s="558"/>
      <c r="U14" s="558"/>
      <c r="V14" s="558"/>
      <c r="W14" s="558"/>
    </row>
    <row r="15" spans="2:27" ht="18" customHeight="1">
      <c r="C15" s="558"/>
      <c r="D15" s="2470" t="str">
        <f>"- Tên công trình: "&amp;Ts!K4</f>
        <v>- Tên công trình: NHÀ 01 TẦNG, TƯỜNG CHỊU LỰC 110MM, MÁI LỢP FIBRÔXIMĂNG, KHÔNG CÓ KHU VỆ SINH KHÉP KÍN</v>
      </c>
      <c r="E15" s="2470"/>
      <c r="F15" s="2470"/>
      <c r="G15" s="2470"/>
      <c r="H15" s="2470"/>
      <c r="I15" s="2470"/>
      <c r="J15" s="2470"/>
      <c r="K15" s="2470"/>
      <c r="L15" s="2470"/>
      <c r="M15" s="2470"/>
      <c r="N15" s="2470"/>
      <c r="O15" s="2470"/>
      <c r="R15" s="558"/>
      <c r="S15" s="558"/>
      <c r="T15" s="558"/>
      <c r="U15" s="558"/>
      <c r="V15" s="558"/>
      <c r="W15" s="558"/>
    </row>
    <row r="16" spans="2:27" ht="18" customHeight="1">
      <c r="C16" s="558"/>
      <c r="D16" s="2470" t="str">
        <f>"- Địa điểm xây dựng: "&amp;Ts!K6</f>
        <v xml:space="preserve">- Địa điểm xây dựng: </v>
      </c>
      <c r="E16" s="2470"/>
      <c r="F16" s="2470"/>
      <c r="G16" s="2470"/>
      <c r="H16" s="2470"/>
      <c r="I16" s="2470"/>
      <c r="J16" s="2470"/>
      <c r="K16" s="2470"/>
      <c r="L16" s="2470"/>
      <c r="M16" s="2470"/>
      <c r="N16" s="2470"/>
      <c r="O16" s="2470"/>
      <c r="R16" s="558"/>
      <c r="S16" s="558"/>
      <c r="T16" s="558"/>
      <c r="U16" s="558"/>
      <c r="V16" s="558"/>
      <c r="W16" s="558"/>
    </row>
    <row r="17" spans="2:23" ht="36" customHeight="1">
      <c r="C17" s="558"/>
      <c r="D17" s="2470" t="str">
        <f>"- Loại và cấp công trình/Loại và cấp công trình cao nhất của Dự án: "&amp;Ts!K6</f>
        <v xml:space="preserve">- Loại và cấp công trình/Loại và cấp công trình cao nhất của Dự án: </v>
      </c>
      <c r="E17" s="2470"/>
      <c r="F17" s="2470"/>
      <c r="G17" s="2470"/>
      <c r="H17" s="2470"/>
      <c r="I17" s="2470"/>
      <c r="J17" s="2470"/>
      <c r="K17" s="2470"/>
      <c r="L17" s="2470"/>
      <c r="M17" s="2470"/>
      <c r="N17" s="2470"/>
      <c r="O17" s="2470"/>
      <c r="R17" s="558"/>
      <c r="S17" s="558"/>
      <c r="T17" s="558"/>
      <c r="U17" s="558"/>
      <c r="V17" s="558"/>
      <c r="W17" s="558"/>
    </row>
    <row r="18" spans="2:23" ht="18" customHeight="1">
      <c r="C18" s="558"/>
      <c r="D18" s="2471" t="s">
        <v>1047</v>
      </c>
      <c r="E18" s="2470"/>
      <c r="F18" s="2470"/>
      <c r="G18" s="2470"/>
      <c r="H18" s="2470"/>
      <c r="I18" s="2470"/>
      <c r="J18" s="2470"/>
      <c r="K18" s="2470"/>
      <c r="L18" s="2470"/>
      <c r="M18" s="2470"/>
      <c r="N18" s="2470"/>
      <c r="O18" s="2470"/>
      <c r="R18" s="558"/>
      <c r="S18" s="558"/>
      <c r="T18" s="558"/>
      <c r="U18" s="558"/>
      <c r="V18" s="558"/>
      <c r="W18" s="558"/>
    </row>
    <row r="19" spans="2:23" ht="18" customHeight="1">
      <c r="C19" s="558"/>
      <c r="D19" s="2470" t="str">
        <f>"- Chủ đầu tư: "&amp;Ts!K7</f>
        <v xml:space="preserve">- Chủ đầu tư: </v>
      </c>
      <c r="E19" s="2470"/>
      <c r="F19" s="2470"/>
      <c r="G19" s="2470"/>
      <c r="H19" s="2470"/>
      <c r="I19" s="2470"/>
      <c r="J19" s="2470"/>
      <c r="K19" s="2470"/>
      <c r="L19" s="2470"/>
      <c r="M19" s="2470"/>
      <c r="N19" s="2470"/>
      <c r="O19" s="2470"/>
      <c r="R19" s="558"/>
      <c r="S19" s="558"/>
      <c r="T19" s="558"/>
      <c r="U19" s="558"/>
      <c r="V19" s="558"/>
      <c r="W19" s="558"/>
    </row>
    <row r="20" spans="2:23" ht="18" customHeight="1">
      <c r="C20" s="558"/>
      <c r="D20" s="2471" t="s">
        <v>1048</v>
      </c>
      <c r="E20" s="2470"/>
      <c r="F20" s="2470"/>
      <c r="G20" s="2470"/>
      <c r="H20" s="2470"/>
      <c r="I20" s="2470"/>
      <c r="J20" s="2470"/>
      <c r="K20" s="2470"/>
      <c r="L20" s="2470"/>
      <c r="M20" s="2470"/>
      <c r="N20" s="2470"/>
      <c r="O20" s="2470"/>
      <c r="R20" s="558"/>
      <c r="S20" s="558"/>
      <c r="T20" s="558"/>
      <c r="U20" s="558"/>
      <c r="V20" s="558"/>
      <c r="W20" s="558"/>
    </row>
    <row r="21" spans="2:23" ht="18" customHeight="1">
      <c r="C21" s="558"/>
      <c r="D21" s="2471" t="s">
        <v>1049</v>
      </c>
      <c r="E21" s="2470"/>
      <c r="F21" s="2470"/>
      <c r="G21" s="2470"/>
      <c r="H21" s="2470"/>
      <c r="I21" s="2470"/>
      <c r="J21" s="2470"/>
      <c r="K21" s="2470"/>
      <c r="L21" s="2470"/>
      <c r="M21" s="2470"/>
      <c r="N21" s="2470"/>
      <c r="O21" s="2470"/>
      <c r="R21" s="558"/>
      <c r="S21" s="558"/>
      <c r="T21" s="558"/>
      <c r="U21" s="558"/>
      <c r="V21" s="558"/>
      <c r="W21" s="558"/>
    </row>
    <row r="22" spans="2:23" ht="36" customHeight="1">
      <c r="C22" s="558"/>
      <c r="D22" s="2471" t="s">
        <v>1050</v>
      </c>
      <c r="E22" s="2470"/>
      <c r="F22" s="2470"/>
      <c r="G22" s="2470"/>
      <c r="H22" s="2470"/>
      <c r="I22" s="2470"/>
      <c r="J22" s="2470"/>
      <c r="K22" s="2470"/>
      <c r="L22" s="2470"/>
      <c r="M22" s="2470"/>
      <c r="N22" s="2470"/>
      <c r="O22" s="2470"/>
      <c r="R22" s="558"/>
      <c r="S22" s="558"/>
      <c r="T22" s="558"/>
      <c r="U22" s="558"/>
      <c r="V22" s="558"/>
      <c r="W22" s="558"/>
    </row>
    <row r="23" spans="2:23" ht="18" customHeight="1">
      <c r="C23" s="558"/>
      <c r="D23" s="2471" t="s">
        <v>1083</v>
      </c>
      <c r="E23" s="2470"/>
      <c r="F23" s="2470"/>
      <c r="G23" s="2470"/>
      <c r="H23" s="2470"/>
      <c r="I23" s="2470"/>
      <c r="J23" s="2470"/>
      <c r="K23" s="2470"/>
      <c r="L23" s="2470"/>
      <c r="M23" s="2470"/>
      <c r="N23" s="2470"/>
      <c r="O23" s="2470"/>
      <c r="R23" s="558"/>
      <c r="S23" s="558"/>
      <c r="T23" s="558"/>
      <c r="U23" s="558"/>
      <c r="V23" s="558"/>
      <c r="W23" s="558"/>
    </row>
    <row r="24" spans="2:23" ht="18" customHeight="1">
      <c r="C24" s="559"/>
      <c r="D24" s="558"/>
      <c r="E24" s="558"/>
      <c r="F24" s="558"/>
      <c r="G24" s="558"/>
      <c r="H24" s="558"/>
      <c r="I24" s="558"/>
      <c r="J24" s="558"/>
      <c r="K24" s="558"/>
      <c r="L24" s="558"/>
      <c r="M24" s="558"/>
      <c r="N24" s="558"/>
      <c r="O24" s="558"/>
      <c r="Q24" s="558"/>
      <c r="R24" s="558"/>
      <c r="S24" s="558"/>
      <c r="T24" s="558"/>
      <c r="U24" s="558"/>
      <c r="V24" s="558"/>
      <c r="W24" s="558"/>
    </row>
    <row r="25" spans="2:23" ht="18" customHeight="1">
      <c r="B25" s="849"/>
      <c r="C25" s="559" t="s">
        <v>1051</v>
      </c>
      <c r="D25" s="559" t="str">
        <f>"Căn cứ "&amp;IF(T2=X2,"thẩm tra","thẩm định")</f>
        <v>Căn cứ thẩm định</v>
      </c>
      <c r="E25" s="558"/>
      <c r="F25" s="558"/>
      <c r="G25" s="558"/>
      <c r="H25" s="558"/>
      <c r="I25" s="558"/>
      <c r="J25" s="558"/>
      <c r="K25" s="558"/>
      <c r="L25" s="558"/>
      <c r="M25" s="558"/>
      <c r="N25" s="558"/>
      <c r="O25" s="558"/>
      <c r="P25" s="17"/>
      <c r="Q25" s="17"/>
      <c r="R25" s="558"/>
      <c r="S25" s="558"/>
      <c r="T25" s="558"/>
      <c r="U25" s="558"/>
      <c r="V25" s="558"/>
      <c r="W25" s="558"/>
    </row>
    <row r="26" spans="2:23" ht="28.5" customHeight="1">
      <c r="B26" s="849"/>
      <c r="C26" s="559" t="s">
        <v>800</v>
      </c>
      <c r="D26" s="559" t="s">
        <v>1052</v>
      </c>
      <c r="E26" s="558"/>
      <c r="F26" s="558"/>
      <c r="G26" s="558"/>
      <c r="H26" s="558"/>
      <c r="I26" s="558"/>
      <c r="J26" s="558"/>
      <c r="K26" s="558"/>
      <c r="L26" s="558"/>
      <c r="M26" s="558"/>
      <c r="N26" s="558"/>
      <c r="O26" s="558"/>
      <c r="P26" s="17"/>
      <c r="Q26" s="17"/>
      <c r="R26" s="558"/>
      <c r="S26" s="558"/>
      <c r="T26" s="558"/>
      <c r="U26" s="558"/>
      <c r="V26" s="558"/>
      <c r="W26" s="558"/>
    </row>
    <row r="27" spans="2:23" ht="36" customHeight="1">
      <c r="C27" s="558"/>
      <c r="D27" s="2471" t="s">
        <v>1066</v>
      </c>
      <c r="E27" s="2470"/>
      <c r="F27" s="2470"/>
      <c r="G27" s="2470"/>
      <c r="H27" s="2470"/>
      <c r="I27" s="2470"/>
      <c r="J27" s="2470"/>
      <c r="K27" s="2470"/>
      <c r="L27" s="2470"/>
      <c r="M27" s="2470"/>
      <c r="N27" s="2470"/>
      <c r="O27" s="2470"/>
      <c r="P27" s="672"/>
      <c r="Q27" s="558"/>
      <c r="R27" s="558"/>
      <c r="S27" s="558"/>
      <c r="T27" s="558"/>
      <c r="U27" s="558"/>
      <c r="V27" s="558"/>
      <c r="W27" s="558"/>
    </row>
    <row r="28" spans="2:23" ht="36" customHeight="1">
      <c r="C28" s="558"/>
      <c r="D28" s="2471" t="s">
        <v>1067</v>
      </c>
      <c r="E28" s="2470"/>
      <c r="F28" s="2470"/>
      <c r="G28" s="2470"/>
      <c r="H28" s="2470"/>
      <c r="I28" s="2470"/>
      <c r="J28" s="2470"/>
      <c r="K28" s="2470"/>
      <c r="L28" s="2470"/>
      <c r="M28" s="2470"/>
      <c r="N28" s="2470"/>
      <c r="O28" s="2470"/>
      <c r="Q28" s="558"/>
      <c r="R28" s="558"/>
      <c r="S28" s="558"/>
      <c r="T28" s="558"/>
      <c r="U28" s="558"/>
      <c r="V28" s="558"/>
      <c r="W28" s="558"/>
    </row>
    <row r="29" spans="2:23" ht="18" customHeight="1">
      <c r="C29" s="558"/>
      <c r="D29" s="2471" t="s">
        <v>1068</v>
      </c>
      <c r="E29" s="2470"/>
      <c r="F29" s="2470"/>
      <c r="G29" s="2470"/>
      <c r="H29" s="2470"/>
      <c r="I29" s="2470"/>
      <c r="J29" s="2470"/>
      <c r="K29" s="2470"/>
      <c r="L29" s="2470"/>
      <c r="M29" s="2470"/>
      <c r="N29" s="2470"/>
      <c r="O29" s="2470"/>
      <c r="Q29" s="558"/>
      <c r="R29" s="558"/>
      <c r="S29" s="558"/>
      <c r="T29" s="558"/>
      <c r="U29" s="558"/>
      <c r="V29" s="558"/>
      <c r="W29" s="558"/>
    </row>
    <row r="30" spans="2:23" ht="36" customHeight="1">
      <c r="C30" s="558"/>
      <c r="D30" s="2471" t="s">
        <v>1053</v>
      </c>
      <c r="E30" s="2470"/>
      <c r="F30" s="2470"/>
      <c r="G30" s="2470"/>
      <c r="H30" s="2470"/>
      <c r="I30" s="2470"/>
      <c r="J30" s="2470"/>
      <c r="K30" s="2470"/>
      <c r="L30" s="2470"/>
      <c r="M30" s="2470"/>
      <c r="N30" s="2470"/>
      <c r="O30" s="2470"/>
      <c r="Q30" s="558"/>
      <c r="R30" s="558"/>
      <c r="S30" s="558"/>
      <c r="T30" s="558"/>
      <c r="U30" s="558"/>
      <c r="V30" s="558"/>
      <c r="W30" s="558"/>
    </row>
    <row r="31" spans="2:23" ht="36" customHeight="1">
      <c r="C31" s="558"/>
      <c r="D31" s="2471" t="s">
        <v>1054</v>
      </c>
      <c r="E31" s="2470"/>
      <c r="F31" s="2470"/>
      <c r="G31" s="2470"/>
      <c r="H31" s="2470"/>
      <c r="I31" s="2470"/>
      <c r="J31" s="2470"/>
      <c r="K31" s="2470"/>
      <c r="L31" s="2470"/>
      <c r="M31" s="2470"/>
      <c r="N31" s="2470"/>
      <c r="O31" s="2470"/>
      <c r="Q31" s="558"/>
      <c r="R31" s="558"/>
      <c r="S31" s="558"/>
      <c r="T31" s="558"/>
      <c r="U31" s="558"/>
      <c r="V31" s="558"/>
      <c r="W31" s="558"/>
    </row>
    <row r="32" spans="2:23" ht="36" customHeight="1">
      <c r="C32" s="558"/>
      <c r="D32" s="2471" t="s">
        <v>1069</v>
      </c>
      <c r="E32" s="2470"/>
      <c r="F32" s="2470"/>
      <c r="G32" s="2470"/>
      <c r="H32" s="2470"/>
      <c r="I32" s="2470"/>
      <c r="J32" s="2470"/>
      <c r="K32" s="2470"/>
      <c r="L32" s="2470"/>
      <c r="M32" s="2470"/>
      <c r="N32" s="2470"/>
      <c r="O32" s="2470"/>
      <c r="Q32" s="558"/>
      <c r="R32" s="558"/>
      <c r="S32" s="558"/>
      <c r="T32" s="558"/>
      <c r="U32" s="558"/>
      <c r="V32" s="558"/>
      <c r="W32" s="558"/>
    </row>
    <row r="33" spans="3:23" ht="36" customHeight="1">
      <c r="C33" s="558"/>
      <c r="D33" s="2475" t="s">
        <v>1070</v>
      </c>
      <c r="E33" s="2470"/>
      <c r="F33" s="2470"/>
      <c r="G33" s="2470"/>
      <c r="H33" s="2470"/>
      <c r="I33" s="2470"/>
      <c r="J33" s="2470"/>
      <c r="K33" s="2470"/>
      <c r="L33" s="2470"/>
      <c r="M33" s="2470"/>
      <c r="N33" s="2470"/>
      <c r="O33" s="2470"/>
      <c r="Q33" s="558"/>
      <c r="R33" s="558"/>
      <c r="S33" s="558"/>
      <c r="T33" s="558"/>
      <c r="U33" s="558"/>
      <c r="V33" s="558"/>
      <c r="W33" s="558"/>
    </row>
    <row r="34" spans="3:23" ht="36" customHeight="1">
      <c r="C34" s="558"/>
      <c r="D34" s="2471" t="s">
        <v>1071</v>
      </c>
      <c r="E34" s="2470"/>
      <c r="F34" s="2470"/>
      <c r="G34" s="2470"/>
      <c r="H34" s="2470"/>
      <c r="I34" s="2470"/>
      <c r="J34" s="2470"/>
      <c r="K34" s="2470"/>
      <c r="L34" s="2470"/>
      <c r="M34" s="2470"/>
      <c r="N34" s="2470"/>
      <c r="O34" s="2470"/>
      <c r="Q34" s="558"/>
      <c r="R34" s="558"/>
      <c r="S34" s="558"/>
      <c r="T34" s="558"/>
      <c r="U34" s="558"/>
      <c r="V34" s="558"/>
      <c r="W34" s="558"/>
    </row>
    <row r="35" spans="3:23" ht="18" customHeight="1">
      <c r="C35" s="558"/>
      <c r="D35" s="2471" t="s">
        <v>1072</v>
      </c>
      <c r="E35" s="2470"/>
      <c r="F35" s="2470"/>
      <c r="G35" s="2470"/>
      <c r="H35" s="2470"/>
      <c r="I35" s="2470"/>
      <c r="J35" s="2470"/>
      <c r="K35" s="2470"/>
      <c r="L35" s="2470"/>
      <c r="M35" s="2470"/>
      <c r="N35" s="2470"/>
      <c r="O35" s="2470"/>
      <c r="Q35" s="558"/>
      <c r="R35" s="558"/>
      <c r="S35" s="558"/>
      <c r="T35" s="558"/>
      <c r="U35" s="558"/>
      <c r="V35" s="558"/>
      <c r="W35" s="558"/>
    </row>
    <row r="36" spans="3:23" ht="18" customHeight="1">
      <c r="C36" s="558"/>
      <c r="D36" s="2471" t="s">
        <v>1073</v>
      </c>
      <c r="E36" s="2470"/>
      <c r="F36" s="2470"/>
      <c r="G36" s="2470"/>
      <c r="H36" s="2470"/>
      <c r="I36" s="2470"/>
      <c r="J36" s="2470"/>
      <c r="K36" s="2470"/>
      <c r="L36" s="2470"/>
      <c r="M36" s="2470"/>
      <c r="N36" s="2470"/>
      <c r="O36" s="2470"/>
      <c r="Q36" s="558"/>
      <c r="R36" s="558"/>
      <c r="S36" s="558"/>
      <c r="T36" s="558"/>
      <c r="U36" s="558"/>
      <c r="V36" s="558"/>
      <c r="W36" s="558"/>
    </row>
    <row r="37" spans="3:23" ht="18" customHeight="1">
      <c r="C37" s="558"/>
      <c r="D37" s="2471" t="s">
        <v>1056</v>
      </c>
      <c r="E37" s="2470"/>
      <c r="F37" s="2470"/>
      <c r="G37" s="2470"/>
      <c r="H37" s="2470"/>
      <c r="I37" s="2470"/>
      <c r="J37" s="2470"/>
      <c r="K37" s="2470"/>
      <c r="L37" s="2470"/>
      <c r="M37" s="2470"/>
      <c r="N37" s="2470"/>
      <c r="O37" s="2470"/>
      <c r="Q37" s="558"/>
      <c r="R37" s="558"/>
      <c r="S37" s="558"/>
      <c r="T37" s="558"/>
      <c r="U37" s="558"/>
      <c r="V37" s="558"/>
      <c r="W37" s="558"/>
    </row>
    <row r="38" spans="3:23" ht="18" customHeight="1">
      <c r="C38" s="558"/>
      <c r="D38" s="2475" t="s">
        <v>1055</v>
      </c>
      <c r="E38" s="2475"/>
      <c r="F38" s="2475"/>
      <c r="G38" s="2475"/>
      <c r="H38" s="2475"/>
      <c r="I38" s="2475"/>
      <c r="J38" s="2475"/>
      <c r="K38" s="2475"/>
      <c r="L38" s="2475"/>
      <c r="M38" s="2475"/>
      <c r="N38" s="2475"/>
      <c r="O38" s="2475"/>
      <c r="Q38" s="558"/>
      <c r="R38" s="558"/>
      <c r="S38" s="558"/>
      <c r="T38" s="558"/>
      <c r="U38" s="558"/>
      <c r="V38" s="558"/>
      <c r="W38" s="558"/>
    </row>
    <row r="39" spans="3:23" ht="18" customHeight="1">
      <c r="C39" s="559" t="s">
        <v>799</v>
      </c>
      <c r="D39" s="559" t="s">
        <v>1057</v>
      </c>
      <c r="E39" s="558"/>
      <c r="F39" s="558"/>
      <c r="G39" s="558"/>
      <c r="H39" s="558"/>
      <c r="I39" s="558"/>
      <c r="J39" s="558"/>
      <c r="K39" s="558"/>
      <c r="L39" s="558"/>
      <c r="M39" s="558"/>
      <c r="N39" s="558"/>
      <c r="O39" s="558"/>
      <c r="Q39" s="558"/>
      <c r="R39" s="558"/>
      <c r="S39" s="558"/>
      <c r="T39" s="558"/>
      <c r="U39" s="558"/>
      <c r="V39" s="558"/>
      <c r="W39" s="558"/>
    </row>
    <row r="40" spans="3:23" ht="36" customHeight="1">
      <c r="C40" s="558"/>
      <c r="D40" s="2475" t="s">
        <v>1058</v>
      </c>
      <c r="E40" s="2474"/>
      <c r="F40" s="2474"/>
      <c r="G40" s="2474"/>
      <c r="H40" s="2474"/>
      <c r="I40" s="2474"/>
      <c r="J40" s="2474"/>
      <c r="K40" s="2474"/>
      <c r="L40" s="2474"/>
      <c r="M40" s="2474"/>
      <c r="N40" s="2474"/>
      <c r="O40" s="2474"/>
      <c r="Q40" s="558"/>
      <c r="R40" s="558"/>
      <c r="S40" s="558"/>
      <c r="T40" s="558"/>
      <c r="U40" s="558"/>
      <c r="V40" s="558"/>
      <c r="W40" s="558"/>
    </row>
    <row r="41" spans="3:23" ht="18" customHeight="1">
      <c r="C41" s="558"/>
      <c r="D41" s="630" t="s">
        <v>1059</v>
      </c>
      <c r="E41" s="558"/>
      <c r="F41" s="558"/>
      <c r="G41" s="558"/>
      <c r="H41" s="558"/>
      <c r="I41" s="558"/>
      <c r="J41" s="558"/>
      <c r="K41" s="558"/>
      <c r="L41" s="558"/>
      <c r="M41" s="558"/>
      <c r="N41" s="558"/>
      <c r="O41" s="558"/>
      <c r="Q41" s="558"/>
      <c r="R41" s="558"/>
      <c r="S41" s="558"/>
      <c r="T41" s="558"/>
      <c r="U41" s="558"/>
      <c r="V41" s="558"/>
      <c r="W41" s="558"/>
    </row>
    <row r="42" spans="3:23" ht="36" customHeight="1">
      <c r="C42" s="558"/>
      <c r="D42" s="2475" t="s">
        <v>1060</v>
      </c>
      <c r="E42" s="2474"/>
      <c r="F42" s="2474"/>
      <c r="G42" s="2474"/>
      <c r="H42" s="2474"/>
      <c r="I42" s="2474"/>
      <c r="J42" s="2474"/>
      <c r="K42" s="2474"/>
      <c r="L42" s="2474"/>
      <c r="M42" s="2474"/>
      <c r="N42" s="2474"/>
      <c r="O42" s="2474"/>
      <c r="Q42" s="558"/>
      <c r="R42" s="558"/>
      <c r="S42" s="558"/>
      <c r="T42" s="558"/>
      <c r="U42" s="558"/>
      <c r="V42" s="558"/>
      <c r="W42" s="558"/>
    </row>
    <row r="43" spans="3:23" ht="18" customHeight="1">
      <c r="C43" s="559" t="s">
        <v>1061</v>
      </c>
      <c r="D43" s="559" t="str">
        <f>"Nhận xét về hồ sơ đề nghị "&amp;IF(S2=W2,"thẩm tra","thẩm định")</f>
        <v>Nhận xét về hồ sơ đề nghị thẩm tra</v>
      </c>
      <c r="E43" s="558"/>
      <c r="F43" s="558"/>
      <c r="G43" s="558"/>
      <c r="H43" s="558"/>
      <c r="I43" s="558"/>
      <c r="J43" s="558"/>
      <c r="K43" s="558"/>
      <c r="L43" s="558"/>
      <c r="M43" s="558"/>
      <c r="N43" s="558"/>
      <c r="O43" s="558"/>
      <c r="Q43" s="558"/>
      <c r="R43" s="558"/>
      <c r="S43" s="558"/>
      <c r="T43" s="558"/>
      <c r="U43" s="558"/>
      <c r="V43" s="558"/>
      <c r="W43" s="558"/>
    </row>
    <row r="44" spans="3:23" ht="18" customHeight="1">
      <c r="C44" s="559"/>
      <c r="D44" s="630" t="s">
        <v>1063</v>
      </c>
      <c r="E44" s="558"/>
      <c r="F44" s="558"/>
      <c r="G44" s="558"/>
      <c r="H44" s="558"/>
      <c r="I44" s="558"/>
      <c r="J44" s="558"/>
      <c r="K44" s="558"/>
      <c r="L44" s="558"/>
      <c r="M44" s="558"/>
      <c r="N44" s="558"/>
      <c r="O44" s="558"/>
      <c r="Q44" s="558"/>
      <c r="R44" s="558"/>
      <c r="S44" s="558"/>
      <c r="T44" s="558"/>
      <c r="U44" s="558"/>
      <c r="V44" s="558"/>
      <c r="W44" s="558"/>
    </row>
    <row r="45" spans="3:23" ht="36" customHeight="1">
      <c r="C45" s="558"/>
      <c r="D45" s="2475" t="s">
        <v>1064</v>
      </c>
      <c r="E45" s="2501"/>
      <c r="F45" s="2501"/>
      <c r="G45" s="2501"/>
      <c r="H45" s="2501"/>
      <c r="I45" s="2501"/>
      <c r="J45" s="2501"/>
      <c r="K45" s="2501"/>
      <c r="L45" s="2501"/>
      <c r="M45" s="2501"/>
      <c r="N45" s="2501"/>
      <c r="O45" s="2501"/>
      <c r="Q45" s="558"/>
      <c r="R45" s="558"/>
      <c r="S45" s="558"/>
      <c r="T45" s="558"/>
      <c r="U45" s="558"/>
      <c r="V45" s="558"/>
      <c r="W45" s="558"/>
    </row>
    <row r="46" spans="3:23" ht="36" customHeight="1">
      <c r="C46" s="558"/>
      <c r="D46" s="2475" t="s">
        <v>1065</v>
      </c>
      <c r="E46" s="2474"/>
      <c r="F46" s="2474"/>
      <c r="G46" s="2474"/>
      <c r="H46" s="2474"/>
      <c r="I46" s="2474"/>
      <c r="J46" s="2474"/>
      <c r="K46" s="2474"/>
      <c r="L46" s="2474"/>
      <c r="M46" s="2474"/>
      <c r="N46" s="2474"/>
      <c r="O46" s="2474"/>
      <c r="Q46" s="558"/>
      <c r="R46" s="558"/>
      <c r="S46" s="558"/>
      <c r="T46" s="558"/>
      <c r="U46" s="558"/>
      <c r="V46" s="558"/>
      <c r="W46" s="558"/>
    </row>
    <row r="47" spans="3:23" ht="18" customHeight="1">
      <c r="C47" s="559" t="s">
        <v>1062</v>
      </c>
      <c r="D47" s="559" t="str">
        <f>"Nguyên tắc "&amp;IF(S2=W2,"thẩm tra","thẩm định")</f>
        <v>Nguyên tắc thẩm tra</v>
      </c>
      <c r="E47" s="558"/>
      <c r="F47" s="558"/>
      <c r="G47" s="558"/>
      <c r="H47" s="558"/>
      <c r="I47" s="558"/>
      <c r="J47" s="558"/>
      <c r="K47" s="558"/>
      <c r="L47" s="558"/>
      <c r="M47" s="558"/>
      <c r="N47" s="558"/>
      <c r="O47" s="558"/>
    </row>
    <row r="48" spans="3:23" ht="18" customHeight="1">
      <c r="C48" s="559"/>
      <c r="D48" s="630" t="s">
        <v>1074</v>
      </c>
      <c r="E48" s="558"/>
      <c r="F48" s="558"/>
      <c r="G48" s="558"/>
      <c r="H48" s="558"/>
      <c r="I48" s="558"/>
      <c r="J48" s="558"/>
      <c r="K48" s="558"/>
      <c r="L48" s="558"/>
      <c r="M48" s="558"/>
      <c r="N48" s="558"/>
      <c r="O48" s="558"/>
    </row>
    <row r="49" spans="3:15" ht="18" customHeight="1">
      <c r="C49" s="558"/>
      <c r="D49" s="2475" t="s">
        <v>1075</v>
      </c>
      <c r="E49" s="2474"/>
      <c r="F49" s="2474"/>
      <c r="G49" s="2474"/>
      <c r="H49" s="2474"/>
      <c r="I49" s="2474"/>
      <c r="J49" s="2474"/>
      <c r="K49" s="2474"/>
      <c r="L49" s="2474"/>
      <c r="M49" s="2474"/>
      <c r="N49" s="2474"/>
      <c r="O49" s="2474"/>
    </row>
    <row r="50" spans="3:15" ht="18" customHeight="1">
      <c r="C50" s="558"/>
      <c r="D50" s="2475" t="s">
        <v>1076</v>
      </c>
      <c r="E50" s="2474"/>
      <c r="F50" s="2474"/>
      <c r="G50" s="2474"/>
      <c r="H50" s="2474"/>
      <c r="I50" s="2474"/>
      <c r="J50" s="2474"/>
      <c r="K50" s="2474"/>
      <c r="L50" s="2474"/>
      <c r="M50" s="2474"/>
      <c r="N50" s="2474"/>
      <c r="O50" s="2474"/>
    </row>
    <row r="51" spans="3:15" ht="18" customHeight="1">
      <c r="C51" s="558"/>
      <c r="D51" s="2475" t="s">
        <v>1077</v>
      </c>
      <c r="E51" s="2474"/>
      <c r="F51" s="2474"/>
      <c r="G51" s="2474"/>
      <c r="H51" s="2474"/>
      <c r="I51" s="2474"/>
      <c r="J51" s="2474"/>
      <c r="K51" s="2474"/>
      <c r="L51" s="2474"/>
      <c r="M51" s="2474"/>
      <c r="N51" s="2474"/>
      <c r="O51" s="2474"/>
    </row>
    <row r="52" spans="3:15" ht="18" customHeight="1">
      <c r="C52" s="558"/>
      <c r="D52" s="2475" t="s">
        <v>1078</v>
      </c>
      <c r="E52" s="2474"/>
      <c r="F52" s="2474"/>
      <c r="G52" s="2474"/>
      <c r="H52" s="2474"/>
      <c r="I52" s="2474"/>
      <c r="J52" s="2474"/>
      <c r="K52" s="2474"/>
      <c r="L52" s="2474"/>
      <c r="M52" s="2474"/>
      <c r="N52" s="2474"/>
      <c r="O52" s="2474"/>
    </row>
    <row r="53" spans="3:15" ht="18" customHeight="1">
      <c r="C53" s="558"/>
      <c r="D53" s="2475" t="s">
        <v>1079</v>
      </c>
      <c r="E53" s="2474"/>
      <c r="F53" s="2474"/>
      <c r="G53" s="2474"/>
      <c r="H53" s="2474"/>
      <c r="I53" s="2474"/>
      <c r="J53" s="2474"/>
      <c r="K53" s="2474"/>
      <c r="L53" s="2474"/>
      <c r="M53" s="2474"/>
      <c r="N53" s="2474"/>
      <c r="O53" s="2474"/>
    </row>
    <row r="54" spans="3:15" ht="18" customHeight="1">
      <c r="C54" s="559" t="s">
        <v>1080</v>
      </c>
      <c r="D54" s="559" t="str">
        <f>"Kết quả "&amp;IF(S2=W2,"thẩm tra","thẩm định")</f>
        <v>Kết quả thẩm tra</v>
      </c>
      <c r="E54" s="558"/>
      <c r="F54" s="558"/>
      <c r="G54" s="558"/>
      <c r="H54" s="558"/>
      <c r="I54" s="558"/>
      <c r="J54" s="558"/>
      <c r="K54" s="558"/>
      <c r="L54" s="558"/>
      <c r="M54" s="558"/>
      <c r="N54" s="558"/>
      <c r="O54" s="558"/>
    </row>
    <row r="55" spans="3:15" ht="36" customHeight="1">
      <c r="C55" s="1338" t="s">
        <v>800</v>
      </c>
      <c r="D55" s="2499" t="s">
        <v>1087</v>
      </c>
      <c r="E55" s="2500"/>
      <c r="F55" s="2500"/>
      <c r="G55" s="2500"/>
      <c r="H55" s="2500"/>
      <c r="I55" s="2500"/>
      <c r="J55" s="2500"/>
      <c r="K55" s="2500"/>
      <c r="L55" s="2500"/>
      <c r="M55" s="2500"/>
      <c r="N55" s="2500"/>
      <c r="O55" s="2500"/>
    </row>
    <row r="56" spans="3:15" ht="36" customHeight="1">
      <c r="C56" s="798" t="s">
        <v>1088</v>
      </c>
      <c r="D56" s="2475" t="s">
        <v>1091</v>
      </c>
      <c r="E56" s="2474"/>
      <c r="F56" s="2474"/>
      <c r="G56" s="2474"/>
      <c r="H56" s="2474"/>
      <c r="I56" s="2474"/>
      <c r="J56" s="2474"/>
      <c r="K56" s="2474"/>
      <c r="L56" s="2474"/>
      <c r="M56" s="2474"/>
      <c r="N56" s="2474"/>
      <c r="O56" s="2474"/>
    </row>
    <row r="57" spans="3:15" ht="36" customHeight="1">
      <c r="C57" s="798" t="s">
        <v>1089</v>
      </c>
      <c r="D57" s="2475" t="s">
        <v>1092</v>
      </c>
      <c r="E57" s="2474"/>
      <c r="F57" s="2474"/>
      <c r="G57" s="2474"/>
      <c r="H57" s="2474"/>
      <c r="I57" s="2474"/>
      <c r="J57" s="2474"/>
      <c r="K57" s="2474"/>
      <c r="L57" s="2474"/>
      <c r="M57" s="2474"/>
      <c r="N57" s="2474"/>
      <c r="O57" s="2474"/>
    </row>
    <row r="58" spans="3:15" ht="36" customHeight="1">
      <c r="C58" s="798" t="s">
        <v>1090</v>
      </c>
      <c r="D58" s="2475" t="s">
        <v>1093</v>
      </c>
      <c r="E58" s="2474"/>
      <c r="F58" s="2474"/>
      <c r="G58" s="2474"/>
      <c r="H58" s="2474"/>
      <c r="I58" s="2474"/>
      <c r="J58" s="2474"/>
      <c r="K58" s="2474"/>
      <c r="L58" s="2474"/>
      <c r="M58" s="2474"/>
      <c r="N58" s="2474"/>
      <c r="O58" s="2474"/>
    </row>
    <row r="59" spans="3:15" ht="18" customHeight="1">
      <c r="C59" s="798" t="s">
        <v>1094</v>
      </c>
      <c r="D59" s="2475" t="s">
        <v>1095</v>
      </c>
      <c r="E59" s="2474"/>
      <c r="F59" s="2474"/>
      <c r="G59" s="2474"/>
      <c r="H59" s="2474"/>
      <c r="I59" s="2474"/>
      <c r="J59" s="2474"/>
      <c r="K59" s="2474"/>
      <c r="L59" s="2474"/>
      <c r="M59" s="2474"/>
      <c r="N59" s="2474"/>
      <c r="O59" s="2474"/>
    </row>
    <row r="60" spans="3:15" ht="36" customHeight="1">
      <c r="C60" s="798" t="s">
        <v>1097</v>
      </c>
      <c r="D60" s="2475" t="s">
        <v>1096</v>
      </c>
      <c r="E60" s="2474"/>
      <c r="F60" s="2474"/>
      <c r="G60" s="2474"/>
      <c r="H60" s="2474"/>
      <c r="I60" s="2474"/>
      <c r="J60" s="2474"/>
      <c r="K60" s="2474"/>
      <c r="L60" s="2474"/>
      <c r="M60" s="2474"/>
      <c r="N60" s="2474"/>
      <c r="O60" s="2474"/>
    </row>
    <row r="61" spans="3:15" ht="18" customHeight="1">
      <c r="C61" s="798" t="s">
        <v>1098</v>
      </c>
      <c r="D61" s="2475" t="s">
        <v>1099</v>
      </c>
      <c r="E61" s="2474"/>
      <c r="F61" s="2474"/>
      <c r="G61" s="2474"/>
      <c r="H61" s="2474"/>
      <c r="I61" s="2474"/>
      <c r="J61" s="2474"/>
      <c r="K61" s="2474"/>
      <c r="L61" s="2474"/>
      <c r="M61" s="2474"/>
      <c r="N61" s="2474"/>
      <c r="O61" s="2474"/>
    </row>
    <row r="62" spans="3:15" ht="36" customHeight="1">
      <c r="C62" s="559"/>
      <c r="D62" s="2475" t="s">
        <v>1084</v>
      </c>
      <c r="E62" s="2474"/>
      <c r="F62" s="2474"/>
      <c r="G62" s="2474"/>
      <c r="H62" s="2474"/>
      <c r="I62" s="2474"/>
      <c r="J62" s="2474"/>
      <c r="K62" s="2474"/>
      <c r="L62" s="2474"/>
      <c r="M62" s="2474"/>
      <c r="N62" s="2474"/>
      <c r="O62" s="2474"/>
    </row>
    <row r="63" spans="3:15" ht="36" customHeight="1">
      <c r="C63" s="559"/>
      <c r="D63" s="2475" t="s">
        <v>1085</v>
      </c>
      <c r="E63" s="2474"/>
      <c r="F63" s="2474"/>
      <c r="G63" s="2474"/>
      <c r="H63" s="2474"/>
      <c r="I63" s="2474"/>
      <c r="J63" s="2474"/>
      <c r="K63" s="2474"/>
      <c r="L63" s="2474"/>
      <c r="M63" s="2474"/>
      <c r="N63" s="2474"/>
      <c r="O63" s="2474"/>
    </row>
    <row r="64" spans="3:15" ht="36" customHeight="1">
      <c r="C64" s="798" t="s">
        <v>1100</v>
      </c>
      <c r="D64" s="2475" t="s">
        <v>1101</v>
      </c>
      <c r="E64" s="2474"/>
      <c r="F64" s="2474"/>
      <c r="G64" s="2474"/>
      <c r="H64" s="2474"/>
      <c r="I64" s="2474"/>
      <c r="J64" s="2474"/>
      <c r="K64" s="2474"/>
      <c r="L64" s="2474"/>
      <c r="M64" s="2474"/>
      <c r="N64" s="2474"/>
      <c r="O64" s="2474"/>
    </row>
    <row r="65" spans="1:23" ht="36" customHeight="1">
      <c r="C65" s="798" t="s">
        <v>1102</v>
      </c>
      <c r="D65" s="2475" t="s">
        <v>1103</v>
      </c>
      <c r="E65" s="2474"/>
      <c r="F65" s="2474"/>
      <c r="G65" s="2474"/>
      <c r="H65" s="2474"/>
      <c r="I65" s="2474"/>
      <c r="J65" s="2474"/>
      <c r="K65" s="2474"/>
      <c r="L65" s="2474"/>
      <c r="M65" s="2474"/>
      <c r="N65" s="2474"/>
      <c r="O65" s="2474"/>
    </row>
    <row r="66" spans="1:23" ht="18" customHeight="1">
      <c r="C66" s="1338" t="s">
        <v>799</v>
      </c>
      <c r="D66" s="559" t="s">
        <v>1086</v>
      </c>
      <c r="E66" s="558"/>
      <c r="F66" s="558"/>
      <c r="G66" s="558"/>
      <c r="H66" s="558"/>
      <c r="I66" s="558"/>
      <c r="J66" s="558"/>
      <c r="K66" s="558"/>
      <c r="L66" s="558"/>
      <c r="M66" s="558"/>
      <c r="N66" s="558"/>
      <c r="O66" s="558"/>
    </row>
    <row r="67" spans="1:23" ht="33.75" customHeight="1">
      <c r="C67" s="558" t="s">
        <v>1104</v>
      </c>
      <c r="D67" s="2470" t="str">
        <f>"Theo các căn cứ và nguyên tắc nêu trên, giá trị dự toán xây dựng công trình (Tên công trình) sau "&amp;IF(S2=W2,"thẩm tra","thẩm định")&amp;" như sau: "</f>
        <v xml:space="preserve">Theo các căn cứ và nguyên tắc nêu trên, giá trị dự toán xây dựng công trình (Tên công trình) sau thẩm tra như sau: </v>
      </c>
      <c r="E67" s="2470"/>
      <c r="F67" s="2470"/>
      <c r="G67" s="2470"/>
      <c r="H67" s="2470"/>
      <c r="I67" s="2470"/>
      <c r="J67" s="2470"/>
      <c r="K67" s="2470"/>
      <c r="L67" s="2470"/>
      <c r="M67" s="2470"/>
      <c r="N67" s="2470"/>
      <c r="O67" s="2470"/>
    </row>
    <row r="68" spans="1:23" ht="18" customHeight="1">
      <c r="C68" s="558"/>
      <c r="D68" s="558"/>
      <c r="E68" s="558"/>
      <c r="F68" s="558"/>
      <c r="G68" s="558"/>
      <c r="H68" s="558"/>
      <c r="I68" s="559"/>
      <c r="J68" s="558"/>
      <c r="K68" s="558"/>
      <c r="L68" s="558"/>
      <c r="M68" s="558"/>
      <c r="N68" s="558"/>
      <c r="O68" s="558"/>
    </row>
    <row r="69" spans="1:23" ht="41.25" customHeight="1">
      <c r="C69" s="1351" t="s">
        <v>33</v>
      </c>
      <c r="D69" s="2492" t="s">
        <v>314</v>
      </c>
      <c r="E69" s="2493"/>
      <c r="F69" s="2494"/>
      <c r="G69" s="2495" t="s">
        <v>1115</v>
      </c>
      <c r="H69" s="2495"/>
      <c r="I69" s="2498" t="s">
        <v>1116</v>
      </c>
      <c r="J69" s="2498"/>
      <c r="K69" s="2498"/>
      <c r="L69" s="2489" t="s">
        <v>1153</v>
      </c>
      <c r="M69" s="2490"/>
      <c r="N69" s="2489" t="s">
        <v>1148</v>
      </c>
      <c r="O69" s="2490"/>
    </row>
    <row r="70" spans="1:23" ht="18" customHeight="1">
      <c r="C70" s="1349">
        <v>1</v>
      </c>
      <c r="D70" s="2478" t="s">
        <v>330</v>
      </c>
      <c r="E70" s="2478"/>
      <c r="F70" s="2478"/>
      <c r="G70" s="2477"/>
      <c r="H70" s="2477"/>
      <c r="I70" s="2477"/>
      <c r="J70" s="2477"/>
      <c r="K70" s="2477"/>
      <c r="L70" s="2477"/>
      <c r="M70" s="2477"/>
      <c r="N70" s="2491">
        <f>J70-G70</f>
        <v>0</v>
      </c>
      <c r="O70" s="2491"/>
    </row>
    <row r="71" spans="1:23" ht="18" customHeight="1">
      <c r="C71" s="1349">
        <v>2</v>
      </c>
      <c r="D71" s="2478" t="s">
        <v>331</v>
      </c>
      <c r="E71" s="2478"/>
      <c r="F71" s="2478"/>
      <c r="G71" s="2477"/>
      <c r="H71" s="2477"/>
      <c r="I71" s="2477"/>
      <c r="J71" s="2477"/>
      <c r="K71" s="2477"/>
      <c r="L71" s="2477"/>
      <c r="M71" s="2477"/>
      <c r="N71" s="2491">
        <f>J71-G71</f>
        <v>0</v>
      </c>
      <c r="O71" s="2491"/>
    </row>
    <row r="72" spans="1:23" ht="18" customHeight="1">
      <c r="C72" s="1349">
        <v>3</v>
      </c>
      <c r="D72" s="2478" t="s">
        <v>74</v>
      </c>
      <c r="E72" s="2478"/>
      <c r="F72" s="2478"/>
      <c r="G72" s="2477"/>
      <c r="H72" s="2477"/>
      <c r="I72" s="2477"/>
      <c r="J72" s="2477"/>
      <c r="K72" s="2477"/>
      <c r="L72" s="2477"/>
      <c r="M72" s="2477"/>
      <c r="N72" s="2491">
        <v>0</v>
      </c>
      <c r="O72" s="2491"/>
    </row>
    <row r="73" spans="1:23" ht="18" customHeight="1">
      <c r="C73" s="1349">
        <v>4</v>
      </c>
      <c r="D73" s="2478" t="s">
        <v>1147</v>
      </c>
      <c r="E73" s="2478"/>
      <c r="F73" s="2478"/>
      <c r="G73" s="2477"/>
      <c r="H73" s="2477"/>
      <c r="I73" s="2477"/>
      <c r="J73" s="2477"/>
      <c r="K73" s="2477"/>
      <c r="L73" s="2477"/>
      <c r="M73" s="2477"/>
      <c r="N73" s="2491">
        <v>0</v>
      </c>
      <c r="O73" s="2491"/>
    </row>
    <row r="74" spans="1:23" ht="18" customHeight="1">
      <c r="C74" s="1349">
        <v>5</v>
      </c>
      <c r="D74" s="2478" t="s">
        <v>150</v>
      </c>
      <c r="E74" s="2478"/>
      <c r="F74" s="2478"/>
      <c r="G74" s="2477"/>
      <c r="H74" s="2477"/>
      <c r="I74" s="2477"/>
      <c r="J74" s="2477"/>
      <c r="K74" s="2477"/>
      <c r="L74" s="2477"/>
      <c r="M74" s="2477"/>
      <c r="N74" s="2491">
        <f>J74-G74</f>
        <v>0</v>
      </c>
      <c r="O74" s="2491"/>
    </row>
    <row r="75" spans="1:23" ht="18" customHeight="1">
      <c r="C75" s="1349">
        <v>6</v>
      </c>
      <c r="D75" s="2479" t="s">
        <v>168</v>
      </c>
      <c r="E75" s="2479"/>
      <c r="F75" s="2479"/>
      <c r="G75" s="2480"/>
      <c r="H75" s="2480"/>
      <c r="I75" s="2480"/>
      <c r="J75" s="2480"/>
      <c r="K75" s="2480"/>
      <c r="L75" s="2477"/>
      <c r="M75" s="2477"/>
      <c r="N75" s="2491">
        <f>J75-G75</f>
        <v>0</v>
      </c>
      <c r="O75" s="2491"/>
    </row>
    <row r="76" spans="1:23" ht="18" customHeight="1">
      <c r="C76" s="2481" t="s">
        <v>232</v>
      </c>
      <c r="D76" s="2481"/>
      <c r="E76" s="2481"/>
      <c r="F76" s="2481"/>
      <c r="G76" s="2485">
        <f>SUM(G70:I75)</f>
        <v>0</v>
      </c>
      <c r="H76" s="2485"/>
      <c r="I76" s="2485">
        <f>SUM(J70:M75)</f>
        <v>0</v>
      </c>
      <c r="J76" s="2485"/>
      <c r="K76" s="2485"/>
      <c r="L76" s="2488"/>
      <c r="M76" s="2488"/>
      <c r="N76" s="2486">
        <f>I76-G76</f>
        <v>0</v>
      </c>
      <c r="O76" s="2487"/>
    </row>
    <row r="77" spans="1:23" ht="18" customHeight="1"/>
    <row r="78" spans="1:23" ht="18" customHeight="1">
      <c r="C78" s="559" t="s">
        <v>542</v>
      </c>
      <c r="D78" s="559"/>
      <c r="E78" s="558"/>
      <c r="F78" s="558"/>
      <c r="G78" s="558"/>
      <c r="H78" s="558"/>
      <c r="I78" s="558"/>
      <c r="J78" s="558"/>
      <c r="K78" s="558"/>
      <c r="L78" s="558"/>
      <c r="M78" s="558"/>
      <c r="N78" s="558"/>
      <c r="O78" s="558"/>
    </row>
    <row r="79" spans="1:23" s="1337" customFormat="1" ht="42" customHeight="1">
      <c r="A79" s="825"/>
      <c r="B79" s="823"/>
      <c r="C79" s="560"/>
      <c r="D79" s="2482" t="s">
        <v>1117</v>
      </c>
      <c r="E79" s="2482"/>
      <c r="F79" s="2482"/>
      <c r="G79" s="2482"/>
      <c r="H79" s="2482"/>
      <c r="I79" s="2482"/>
      <c r="J79" s="2482"/>
      <c r="K79" s="2482"/>
      <c r="L79" s="2482"/>
      <c r="M79" s="2482"/>
      <c r="N79" s="2482"/>
      <c r="O79" s="2482"/>
      <c r="P79" s="558"/>
      <c r="Q79" s="558"/>
      <c r="R79" s="558"/>
      <c r="S79" s="558"/>
      <c r="T79" s="558"/>
      <c r="U79" s="558"/>
      <c r="V79" s="558"/>
      <c r="W79" s="558"/>
    </row>
    <row r="80" spans="1:23" s="1337" customFormat="1" ht="18" customHeight="1">
      <c r="A80" s="825"/>
      <c r="B80" s="823"/>
      <c r="C80" s="560"/>
      <c r="D80" s="558"/>
      <c r="E80" s="558"/>
      <c r="F80" s="558"/>
      <c r="G80" s="558"/>
      <c r="H80" s="558"/>
      <c r="I80" s="558"/>
      <c r="J80" s="558"/>
      <c r="K80" s="558"/>
      <c r="L80" s="558"/>
      <c r="M80" s="558"/>
      <c r="N80" s="558"/>
      <c r="O80" s="558"/>
      <c r="P80" s="558"/>
      <c r="Q80" s="558"/>
      <c r="R80" s="558"/>
      <c r="S80" s="558"/>
      <c r="T80" s="558"/>
      <c r="U80" s="558"/>
      <c r="V80" s="558"/>
      <c r="W80" s="558"/>
    </row>
    <row r="81" spans="1:23" ht="18" customHeight="1">
      <c r="C81" s="559" t="s">
        <v>543</v>
      </c>
      <c r="D81" s="558"/>
      <c r="E81" s="558"/>
      <c r="F81" s="558"/>
      <c r="G81" s="558"/>
      <c r="H81" s="558"/>
      <c r="I81" s="558"/>
      <c r="J81" s="558"/>
      <c r="K81" s="558"/>
      <c r="L81" s="558"/>
      <c r="M81" s="558"/>
      <c r="N81" s="558"/>
      <c r="O81" s="558"/>
    </row>
    <row r="82" spans="1:23" s="558" customFormat="1" ht="19.5" customHeight="1">
      <c r="A82" s="823"/>
      <c r="B82" s="823"/>
      <c r="C82" s="1343"/>
      <c r="D82" s="1344"/>
      <c r="E82" s="1345"/>
      <c r="F82" s="1345"/>
      <c r="G82" s="1345"/>
      <c r="H82" s="1345"/>
      <c r="I82" s="1345"/>
      <c r="J82" s="1345"/>
      <c r="K82" s="1345"/>
      <c r="L82" s="1345"/>
      <c r="M82" s="1345"/>
      <c r="N82" s="1345"/>
      <c r="O82" s="1345"/>
    </row>
    <row r="83" spans="1:23" s="558" customFormat="1" ht="17.25" customHeight="1">
      <c r="A83" s="823"/>
      <c r="B83" s="823"/>
      <c r="C83" s="1343"/>
      <c r="D83" s="1350"/>
      <c r="E83" s="1350"/>
      <c r="F83" s="1350"/>
      <c r="G83" s="1350"/>
      <c r="H83" s="1350"/>
      <c r="I83" s="1350"/>
      <c r="J83" s="1350"/>
      <c r="K83" s="1350"/>
      <c r="L83" s="1350"/>
      <c r="M83" s="1350"/>
      <c r="N83" s="1350"/>
      <c r="O83" s="1350"/>
    </row>
    <row r="84" spans="1:23" s="558" customFormat="1" ht="17.25" customHeight="1">
      <c r="A84" s="823"/>
      <c r="B84" s="823"/>
      <c r="C84" s="1345"/>
      <c r="D84" s="1350"/>
      <c r="E84" s="1350"/>
      <c r="F84" s="1350"/>
      <c r="G84" s="1350"/>
      <c r="H84" s="1350"/>
      <c r="I84" s="1350"/>
      <c r="J84" s="1350"/>
      <c r="K84" s="1350"/>
      <c r="L84" s="1350"/>
      <c r="M84" s="1350"/>
      <c r="N84" s="1350"/>
      <c r="O84" s="1350"/>
    </row>
    <row r="85" spans="1:23" s="645" customFormat="1" ht="15" customHeight="1">
      <c r="A85" s="850"/>
      <c r="B85" s="821"/>
      <c r="C85" s="795"/>
      <c r="D85" s="795"/>
      <c r="E85" s="795"/>
      <c r="F85" s="795"/>
      <c r="G85" s="795"/>
      <c r="H85" s="795"/>
      <c r="I85" s="795"/>
      <c r="J85" s="795"/>
      <c r="K85" s="795"/>
      <c r="L85" s="795"/>
      <c r="M85" s="795"/>
      <c r="N85" s="795"/>
      <c r="O85" s="795"/>
      <c r="P85" s="284"/>
      <c r="Q85" s="284"/>
      <c r="R85" s="284"/>
      <c r="S85" s="284"/>
      <c r="T85" s="284"/>
      <c r="U85" s="284"/>
      <c r="V85" s="284"/>
      <c r="W85" s="284"/>
    </row>
    <row r="86" spans="1:23" ht="18" customHeight="1">
      <c r="C86" s="554" t="str">
        <f>"NGƯỜI "&amp;IF(S2=W2,"THẨM TRA","THẨM ĐỊNH")</f>
        <v>NGƯỜI THẨM TRA</v>
      </c>
      <c r="D86" s="796"/>
      <c r="E86" s="796"/>
      <c r="F86" s="796"/>
      <c r="G86" s="796"/>
      <c r="H86" s="554" t="s">
        <v>52</v>
      </c>
      <c r="I86" s="796"/>
      <c r="J86" s="554"/>
      <c r="K86" s="554"/>
      <c r="L86" s="554"/>
      <c r="M86" s="554"/>
      <c r="N86" s="554"/>
      <c r="O86" s="554"/>
    </row>
    <row r="87" spans="1:23" ht="18" customHeight="1">
      <c r="C87" s="2483" t="s">
        <v>1118</v>
      </c>
      <c r="D87" s="2483"/>
      <c r="E87" s="2483"/>
      <c r="F87" s="2483"/>
      <c r="G87" s="558"/>
      <c r="H87" s="558"/>
      <c r="I87" s="558"/>
      <c r="J87" s="2483" t="s">
        <v>1118</v>
      </c>
      <c r="K87" s="2483"/>
      <c r="L87" s="2483"/>
      <c r="M87" s="2483"/>
      <c r="N87" s="558"/>
      <c r="O87" s="558"/>
    </row>
    <row r="88" spans="1:23" ht="18" customHeight="1">
      <c r="C88" s="560"/>
      <c r="D88" s="558"/>
      <c r="E88" s="558"/>
      <c r="F88" s="558"/>
      <c r="G88" s="558"/>
      <c r="H88" s="558"/>
      <c r="I88" s="558"/>
      <c r="J88" s="558"/>
      <c r="K88" s="558"/>
      <c r="L88" s="558"/>
      <c r="M88" s="558"/>
      <c r="N88" s="558"/>
      <c r="O88" s="558"/>
    </row>
    <row r="89" spans="1:23" ht="18" customHeight="1">
      <c r="C89" s="561"/>
      <c r="D89" s="562"/>
      <c r="E89" s="561"/>
      <c r="F89" s="560" t="s">
        <v>513</v>
      </c>
      <c r="G89" s="558"/>
      <c r="H89" s="558"/>
      <c r="I89" s="558"/>
      <c r="J89" s="558"/>
      <c r="K89" s="558"/>
      <c r="L89" s="558"/>
      <c r="M89" s="558"/>
      <c r="N89" s="558"/>
      <c r="O89" s="558"/>
    </row>
    <row r="90" spans="1:23" ht="18" customHeight="1">
      <c r="C90" s="561"/>
      <c r="D90" s="562"/>
      <c r="E90" s="562"/>
      <c r="F90" s="558"/>
      <c r="G90" s="558"/>
      <c r="H90" s="558"/>
      <c r="I90" s="558"/>
      <c r="J90" s="558"/>
      <c r="K90" s="558"/>
      <c r="L90" s="558"/>
      <c r="M90" s="558"/>
      <c r="N90" s="558"/>
      <c r="O90" s="558"/>
    </row>
    <row r="91" spans="1:23" ht="18" customHeight="1">
      <c r="C91" s="561"/>
      <c r="D91" s="562"/>
      <c r="F91" s="558"/>
      <c r="G91" s="564"/>
      <c r="H91" s="317"/>
      <c r="I91" s="796"/>
      <c r="J91" s="317"/>
      <c r="K91" s="317"/>
      <c r="L91" s="317"/>
      <c r="M91" s="317"/>
      <c r="N91" s="317"/>
      <c r="O91" s="317"/>
    </row>
    <row r="92" spans="1:23" ht="18" customHeight="1">
      <c r="C92" s="560"/>
      <c r="D92" s="558"/>
      <c r="E92" s="558"/>
      <c r="F92" s="558"/>
      <c r="G92" s="558"/>
      <c r="H92" s="558"/>
      <c r="I92" s="558"/>
      <c r="J92" s="558"/>
      <c r="K92" s="558"/>
      <c r="L92" s="558"/>
      <c r="M92" s="558"/>
      <c r="N92" s="558"/>
      <c r="O92" s="558"/>
    </row>
    <row r="93" spans="1:23" ht="18" customHeight="1">
      <c r="D93" s="563" t="s">
        <v>514</v>
      </c>
      <c r="E93" s="558"/>
      <c r="G93" s="289" t="s">
        <v>1157</v>
      </c>
      <c r="H93" s="796"/>
      <c r="I93" s="317"/>
      <c r="J93" s="317"/>
      <c r="K93" s="317"/>
      <c r="L93" s="317"/>
      <c r="M93" s="317"/>
      <c r="N93" s="317"/>
      <c r="O93" s="317"/>
    </row>
    <row r="94" spans="1:23" ht="18" customHeight="1">
      <c r="C94" s="565" t="s">
        <v>1150</v>
      </c>
      <c r="D94" s="558"/>
      <c r="E94" s="558"/>
      <c r="F94" s="558"/>
      <c r="G94" s="558"/>
      <c r="H94" s="317"/>
      <c r="I94" s="317"/>
      <c r="J94" s="317"/>
      <c r="K94" s="317"/>
      <c r="L94" s="317"/>
      <c r="M94" s="317"/>
      <c r="N94" s="317"/>
      <c r="O94" s="317"/>
    </row>
    <row r="95" spans="1:23" ht="18" customHeight="1">
      <c r="C95" s="565" t="s">
        <v>1149</v>
      </c>
      <c r="D95" s="558"/>
      <c r="E95" s="558"/>
      <c r="F95" s="558"/>
      <c r="G95" s="558"/>
      <c r="H95" s="317"/>
      <c r="I95" s="317"/>
      <c r="J95" s="317"/>
      <c r="K95" s="317"/>
      <c r="L95" s="317"/>
      <c r="M95" s="317"/>
      <c r="N95" s="317"/>
      <c r="O95" s="317"/>
    </row>
    <row r="96" spans="1:23" ht="18" customHeight="1">
      <c r="C96" s="565"/>
      <c r="D96" s="558"/>
      <c r="E96" s="558"/>
      <c r="F96" s="558"/>
      <c r="G96" s="558"/>
      <c r="H96" s="317"/>
      <c r="I96" s="317"/>
      <c r="J96" s="317"/>
      <c r="K96" s="317"/>
      <c r="L96" s="317"/>
      <c r="M96" s="317"/>
      <c r="N96" s="317"/>
      <c r="O96" s="317"/>
    </row>
    <row r="97" spans="3:15" ht="18" customHeight="1">
      <c r="C97" s="672"/>
      <c r="D97" s="672"/>
      <c r="E97" s="558"/>
      <c r="F97" s="558"/>
      <c r="G97" s="558"/>
      <c r="H97" s="317"/>
      <c r="I97" s="317"/>
      <c r="J97" s="317"/>
      <c r="K97" s="317"/>
      <c r="L97" s="317"/>
      <c r="M97" s="317"/>
      <c r="N97" s="317"/>
      <c r="O97" s="317"/>
    </row>
    <row r="98" spans="3:15" ht="18" customHeight="1">
      <c r="C98" s="558"/>
      <c r="D98" s="558"/>
      <c r="E98" s="558"/>
      <c r="F98" s="558"/>
      <c r="G98" s="289" t="s">
        <v>518</v>
      </c>
      <c r="H98" s="796"/>
      <c r="I98" s="317"/>
      <c r="J98" s="317"/>
      <c r="K98" s="317"/>
      <c r="L98" s="317"/>
      <c r="M98" s="317"/>
      <c r="N98" s="317"/>
      <c r="O98" s="317"/>
    </row>
    <row r="99" spans="3:15" ht="18" customHeight="1">
      <c r="C99" s="822"/>
      <c r="D99" s="822"/>
      <c r="E99" s="822"/>
      <c r="F99" s="822"/>
      <c r="G99" s="822"/>
      <c r="H99" s="822"/>
      <c r="I99" s="822"/>
      <c r="J99" s="822"/>
      <c r="K99" s="822"/>
      <c r="L99" s="822"/>
      <c r="M99" s="822"/>
      <c r="N99" s="822"/>
      <c r="O99" s="822"/>
    </row>
    <row r="100" spans="3:15" ht="18" customHeight="1">
      <c r="C100" s="822"/>
      <c r="D100" s="822"/>
      <c r="E100" s="822"/>
      <c r="F100" s="822"/>
      <c r="G100" s="822"/>
      <c r="H100" s="822"/>
      <c r="I100" s="822"/>
      <c r="J100" s="822"/>
      <c r="K100" s="822"/>
      <c r="L100" s="822"/>
      <c r="M100" s="822"/>
      <c r="N100" s="822"/>
      <c r="O100" s="822"/>
    </row>
    <row r="101" spans="3:15" ht="18" customHeight="1">
      <c r="C101" s="822"/>
      <c r="D101" s="822"/>
      <c r="E101" s="822"/>
      <c r="F101" s="822"/>
      <c r="G101" s="822"/>
      <c r="H101" s="822"/>
      <c r="I101" s="822"/>
      <c r="J101" s="822"/>
      <c r="K101" s="822"/>
      <c r="L101" s="822"/>
      <c r="M101" s="822"/>
      <c r="N101" s="822"/>
      <c r="O101" s="822"/>
    </row>
    <row r="102" spans="3:15" ht="18" customHeight="1">
      <c r="C102" s="822"/>
      <c r="D102" s="822"/>
      <c r="E102" s="822"/>
      <c r="F102" s="822"/>
      <c r="G102" s="822"/>
      <c r="H102" s="822"/>
      <c r="I102" s="822"/>
      <c r="J102" s="822"/>
      <c r="K102" s="822"/>
      <c r="L102" s="822"/>
      <c r="M102" s="822"/>
      <c r="N102" s="822"/>
      <c r="O102" s="822"/>
    </row>
    <row r="103" spans="3:15" ht="18" customHeight="1">
      <c r="C103" s="822"/>
      <c r="D103" s="822"/>
      <c r="E103" s="822"/>
      <c r="F103" s="822"/>
      <c r="G103" s="822"/>
      <c r="H103" s="822"/>
      <c r="I103" s="822"/>
      <c r="J103" s="822"/>
      <c r="K103" s="822"/>
      <c r="L103" s="822"/>
      <c r="M103" s="822"/>
      <c r="N103" s="822"/>
      <c r="O103" s="822"/>
    </row>
    <row r="104" spans="3:15" ht="18" customHeight="1">
      <c r="C104" s="822"/>
      <c r="D104" s="822"/>
      <c r="E104" s="822"/>
      <c r="F104" s="822"/>
      <c r="G104" s="822"/>
      <c r="H104" s="822"/>
      <c r="I104" s="822"/>
      <c r="J104" s="822"/>
      <c r="K104" s="822"/>
      <c r="L104" s="822"/>
      <c r="M104" s="822"/>
      <c r="N104" s="822"/>
      <c r="O104" s="822"/>
    </row>
    <row r="105" spans="3:15" ht="18" customHeight="1">
      <c r="C105" s="822"/>
      <c r="D105" s="822"/>
      <c r="E105" s="822"/>
      <c r="F105" s="822"/>
      <c r="G105" s="822"/>
      <c r="H105" s="822"/>
      <c r="I105" s="822"/>
      <c r="J105" s="822"/>
      <c r="K105" s="822"/>
      <c r="L105" s="822"/>
      <c r="M105" s="822"/>
      <c r="N105" s="822"/>
      <c r="O105" s="822"/>
    </row>
    <row r="106" spans="3:15">
      <c r="C106" s="822"/>
      <c r="D106" s="822"/>
      <c r="E106" s="822"/>
      <c r="F106" s="822"/>
      <c r="G106" s="822"/>
      <c r="H106" s="822"/>
      <c r="I106" s="822"/>
      <c r="J106" s="822"/>
      <c r="K106" s="822"/>
      <c r="L106" s="822"/>
      <c r="M106" s="822"/>
      <c r="N106" s="822"/>
      <c r="O106" s="822"/>
    </row>
    <row r="107" spans="3:15">
      <c r="C107" s="822"/>
      <c r="D107" s="822"/>
      <c r="E107" s="822"/>
      <c r="F107" s="822"/>
      <c r="G107" s="822"/>
      <c r="H107" s="822"/>
      <c r="I107" s="822"/>
      <c r="J107" s="822"/>
      <c r="K107" s="822"/>
      <c r="L107" s="822"/>
      <c r="M107" s="822"/>
      <c r="N107" s="822"/>
      <c r="O107" s="822"/>
    </row>
    <row r="108" spans="3:15">
      <c r="C108" s="822"/>
      <c r="D108" s="822"/>
      <c r="E108" s="822"/>
      <c r="F108" s="822"/>
      <c r="G108" s="822"/>
      <c r="H108" s="822"/>
      <c r="I108" s="822"/>
      <c r="J108" s="822"/>
      <c r="K108" s="822"/>
      <c r="L108" s="822"/>
      <c r="M108" s="822"/>
      <c r="N108" s="822"/>
      <c r="O108" s="822"/>
    </row>
    <row r="109" spans="3:15">
      <c r="C109" s="822"/>
      <c r="D109" s="822"/>
      <c r="E109" s="822"/>
      <c r="F109" s="822"/>
      <c r="G109" s="822"/>
      <c r="H109" s="822"/>
      <c r="I109" s="822"/>
      <c r="J109" s="822"/>
      <c r="K109" s="822"/>
      <c r="L109" s="822"/>
      <c r="M109" s="822"/>
      <c r="N109" s="822"/>
      <c r="O109" s="822"/>
    </row>
    <row r="110" spans="3:15">
      <c r="C110" s="822"/>
      <c r="D110" s="822"/>
      <c r="E110" s="822"/>
      <c r="F110" s="822"/>
      <c r="G110" s="822"/>
      <c r="H110" s="822"/>
      <c r="I110" s="822"/>
      <c r="J110" s="822"/>
      <c r="K110" s="822"/>
      <c r="L110" s="822"/>
      <c r="M110" s="822"/>
      <c r="N110" s="822"/>
      <c r="O110" s="822"/>
    </row>
    <row r="111" spans="3:15">
      <c r="C111" s="822"/>
      <c r="D111" s="822"/>
      <c r="E111" s="822"/>
      <c r="F111" s="822"/>
      <c r="G111" s="822"/>
      <c r="H111" s="822"/>
      <c r="I111" s="822"/>
      <c r="J111" s="822"/>
      <c r="K111" s="822"/>
      <c r="L111" s="822"/>
      <c r="M111" s="822"/>
      <c r="N111" s="822"/>
      <c r="O111" s="822"/>
    </row>
    <row r="112" spans="3:15">
      <c r="C112" s="822"/>
      <c r="D112" s="822"/>
      <c r="E112" s="822"/>
      <c r="F112" s="822"/>
      <c r="G112" s="822"/>
      <c r="H112" s="822"/>
      <c r="I112" s="822"/>
      <c r="J112" s="822"/>
      <c r="K112" s="822"/>
      <c r="L112" s="822"/>
      <c r="M112" s="822"/>
      <c r="N112" s="822"/>
      <c r="O112" s="822"/>
    </row>
    <row r="113" spans="3:15">
      <c r="C113" s="822"/>
      <c r="D113" s="822"/>
      <c r="E113" s="822"/>
      <c r="F113" s="822"/>
      <c r="G113" s="822"/>
      <c r="H113" s="822"/>
      <c r="I113" s="822"/>
      <c r="J113" s="822"/>
      <c r="K113" s="822"/>
      <c r="L113" s="822"/>
      <c r="M113" s="822"/>
      <c r="N113" s="822"/>
      <c r="O113" s="822"/>
    </row>
    <row r="114" spans="3:15">
      <c r="C114" s="822"/>
      <c r="D114" s="822"/>
      <c r="E114" s="822"/>
      <c r="F114" s="822"/>
      <c r="G114" s="822"/>
      <c r="H114" s="822"/>
      <c r="I114" s="822"/>
      <c r="J114" s="822"/>
      <c r="K114" s="822"/>
      <c r="L114" s="822"/>
      <c r="M114" s="822"/>
      <c r="N114" s="822"/>
      <c r="O114" s="822"/>
    </row>
    <row r="115" spans="3:15">
      <c r="C115" s="822"/>
      <c r="D115" s="822"/>
      <c r="E115" s="822"/>
      <c r="F115" s="822"/>
      <c r="G115" s="822"/>
      <c r="H115" s="822"/>
      <c r="I115" s="822"/>
      <c r="J115" s="822"/>
      <c r="K115" s="822"/>
      <c r="L115" s="822"/>
      <c r="M115" s="822"/>
      <c r="N115" s="822"/>
      <c r="O115" s="822"/>
    </row>
    <row r="116" spans="3:15">
      <c r="C116" s="822"/>
      <c r="D116" s="822"/>
      <c r="E116" s="822"/>
      <c r="F116" s="822"/>
      <c r="G116" s="822"/>
      <c r="H116" s="822"/>
      <c r="I116" s="822"/>
      <c r="J116" s="822"/>
      <c r="K116" s="822"/>
      <c r="L116" s="822"/>
      <c r="M116" s="822"/>
      <c r="N116" s="822"/>
      <c r="O116" s="822"/>
    </row>
    <row r="117" spans="3:15">
      <c r="C117" s="822"/>
      <c r="D117" s="822"/>
      <c r="E117" s="822"/>
      <c r="F117" s="822"/>
      <c r="G117" s="822"/>
      <c r="H117" s="822"/>
      <c r="I117" s="822"/>
      <c r="J117" s="822"/>
      <c r="K117" s="822"/>
      <c r="L117" s="822"/>
      <c r="M117" s="822"/>
      <c r="N117" s="822"/>
      <c r="O117" s="822"/>
    </row>
  </sheetData>
  <mergeCells count="88">
    <mergeCell ref="N69:O69"/>
    <mergeCell ref="N73:O73"/>
    <mergeCell ref="N74:O74"/>
    <mergeCell ref="N76:O76"/>
    <mergeCell ref="N75:O75"/>
    <mergeCell ref="I75:K75"/>
    <mergeCell ref="L69:M69"/>
    <mergeCell ref="L70:M70"/>
    <mergeCell ref="L71:M71"/>
    <mergeCell ref="L72:M72"/>
    <mergeCell ref="L73:M73"/>
    <mergeCell ref="L74:M74"/>
    <mergeCell ref="I69:K69"/>
    <mergeCell ref="I70:K70"/>
    <mergeCell ref="I71:K71"/>
    <mergeCell ref="I72:K72"/>
    <mergeCell ref="I73:K73"/>
    <mergeCell ref="L75:M75"/>
    <mergeCell ref="D75:F75"/>
    <mergeCell ref="G70:H70"/>
    <mergeCell ref="N70:O70"/>
    <mergeCell ref="N71:O71"/>
    <mergeCell ref="N72:O72"/>
    <mergeCell ref="G72:H72"/>
    <mergeCell ref="G73:H73"/>
    <mergeCell ref="G71:H71"/>
    <mergeCell ref="G74:H74"/>
    <mergeCell ref="G75:H75"/>
    <mergeCell ref="D70:F70"/>
    <mergeCell ref="D71:F71"/>
    <mergeCell ref="D72:F72"/>
    <mergeCell ref="D73:F73"/>
    <mergeCell ref="D74:F74"/>
    <mergeCell ref="I74:K74"/>
    <mergeCell ref="C87:F87"/>
    <mergeCell ref="J87:M87"/>
    <mergeCell ref="G76:H76"/>
    <mergeCell ref="I76:K76"/>
    <mergeCell ref="L76:M76"/>
    <mergeCell ref="C76:F76"/>
    <mergeCell ref="D79:O79"/>
    <mergeCell ref="G69:H69"/>
    <mergeCell ref="D45:O45"/>
    <mergeCell ref="D52:O52"/>
    <mergeCell ref="D53:O53"/>
    <mergeCell ref="D23:O23"/>
    <mergeCell ref="D34:O34"/>
    <mergeCell ref="D35:O35"/>
    <mergeCell ref="D36:O36"/>
    <mergeCell ref="D37:O37"/>
    <mergeCell ref="D40:O40"/>
    <mergeCell ref="D46:O46"/>
    <mergeCell ref="D50:O50"/>
    <mergeCell ref="D49:O49"/>
    <mergeCell ref="D67:O67"/>
    <mergeCell ref="D51:O51"/>
    <mergeCell ref="D56:O56"/>
    <mergeCell ref="C4:G6"/>
    <mergeCell ref="D29:O29"/>
    <mergeCell ref="D27:O27"/>
    <mergeCell ref="D69:F69"/>
    <mergeCell ref="D30:O30"/>
    <mergeCell ref="D38:O38"/>
    <mergeCell ref="D22:O22"/>
    <mergeCell ref="D20:O20"/>
    <mergeCell ref="D21:O21"/>
    <mergeCell ref="D31:O31"/>
    <mergeCell ref="D32:O32"/>
    <mergeCell ref="D33:O33"/>
    <mergeCell ref="D14:O14"/>
    <mergeCell ref="D15:O15"/>
    <mergeCell ref="D16:O16"/>
    <mergeCell ref="D17:O17"/>
    <mergeCell ref="D19:O19"/>
    <mergeCell ref="D12:O12"/>
    <mergeCell ref="D28:O28"/>
    <mergeCell ref="D18:O18"/>
    <mergeCell ref="D42:O42"/>
    <mergeCell ref="D64:O64"/>
    <mergeCell ref="D65:O65"/>
    <mergeCell ref="D55:O55"/>
    <mergeCell ref="D59:O59"/>
    <mergeCell ref="D61:O61"/>
    <mergeCell ref="D57:O57"/>
    <mergeCell ref="D58:O58"/>
    <mergeCell ref="D60:O60"/>
    <mergeCell ref="D62:O62"/>
    <mergeCell ref="D63:O63"/>
  </mergeCells>
  <phoneticPr fontId="60" type="noConversion"/>
  <dataValidations count="1">
    <dataValidation type="list" allowBlank="1" showInputMessage="1" showErrorMessage="1" sqref="R2">
      <formula1>$V$2:$V$4</formula1>
    </dataValidation>
  </dataValidations>
  <printOptions horizontalCentered="1"/>
  <pageMargins left="0.75" right="0.25" top="0.5" bottom="0.5" header="0.25" footer="0.25"/>
  <pageSetup paperSize="9" orientation="portrait" horizontalDpi="300" verticalDpi="300" r:id="rId1"/>
  <headerFooter>
    <oddFooter>&amp;C&amp;P</odd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sheetPr>
  <dimension ref="A1:AI40"/>
  <sheetViews>
    <sheetView showZeros="0" zoomScale="85" zoomScaleNormal="85" zoomScaleSheetLayoutView="100" workbookViewId="0">
      <selection activeCell="B9" sqref="B9"/>
    </sheetView>
  </sheetViews>
  <sheetFormatPr defaultColWidth="9" defaultRowHeight="15"/>
  <cols>
    <col min="1" max="1" width="8.28515625" style="855" customWidth="1"/>
    <col min="2" max="2" width="43.5703125" style="267" customWidth="1"/>
    <col min="3" max="3" width="8.42578125" style="155" customWidth="1"/>
    <col min="4" max="4" width="6.42578125" style="155" customWidth="1"/>
    <col min="5" max="5" width="35.5703125" style="267" customWidth="1"/>
    <col min="6" max="8" width="20.5703125" style="155" customWidth="1"/>
    <col min="9" max="9" width="8" style="264" customWidth="1"/>
    <col min="10" max="10" width="32.140625" style="264" customWidth="1"/>
    <col min="11" max="11" width="9" style="818" customWidth="1"/>
    <col min="12" max="12" width="2.42578125" style="818" customWidth="1"/>
    <col min="13" max="13" width="45.85546875" style="818" bestFit="1" customWidth="1"/>
    <col min="14" max="14" width="19" style="818" customWidth="1"/>
    <col min="15" max="15" width="9" style="818" customWidth="1"/>
    <col min="16" max="16" width="21.140625" style="818" customWidth="1"/>
    <col min="17" max="23" width="9" style="818"/>
    <col min="26" max="16384" width="9" style="818"/>
  </cols>
  <sheetData>
    <row r="1" spans="1:15" ht="23.25">
      <c r="A1" s="1321" t="s">
        <v>848</v>
      </c>
      <c r="B1" s="809"/>
      <c r="C1" s="429"/>
      <c r="D1" s="429"/>
      <c r="E1" s="799"/>
      <c r="F1" s="430"/>
      <c r="G1" s="430"/>
      <c r="H1" s="430"/>
      <c r="I1" s="430"/>
      <c r="J1" s="1322"/>
    </row>
    <row r="2" spans="1:15" ht="22.15" customHeight="1">
      <c r="A2" s="1019" t="str">
        <f>"Dự án: "&amp;'Bia-Dutoan'!E11</f>
        <v>Dự án: ĐIỀU CHỈNH, BỔ SUNG, ĐƠN GIÁ XÂY DỰNG CỦA MỘT SỐ LOẠI CÔNG TRÌNH ĐỂ XÁC ĐỊNH GIÁ TRỊ BỒI
THƯỜNG ĐỐI VỚI NHÀ Ở, CÔNG TRÌNH PHẢI THÁO DỠ KHI NHÀ NƯỚC THU HỒI ĐẤT TRÊN ĐỊA BÀN TỈNH SƠN LA</v>
      </c>
      <c r="B2" s="627"/>
      <c r="C2" s="28"/>
      <c r="D2" s="28"/>
      <c r="E2" s="800"/>
      <c r="F2" s="29"/>
      <c r="G2" s="29"/>
      <c r="H2" s="29"/>
      <c r="I2" s="29"/>
      <c r="J2" s="1323"/>
    </row>
    <row r="3" spans="1:15" ht="22.15" customHeight="1">
      <c r="A3" s="1019" t="str">
        <f>"Công trình: "&amp;'Bia-Dutoan'!E43</f>
        <v>Công trình: NHÀ 01 TẦNG, TƯỜNG CHỊU LỰC 110MM, MÁI LỢP FIBRÔXIMĂNG, KHÔNG CÓ KHU VỆ SINH KHÉP KÍN</v>
      </c>
      <c r="B3" s="627"/>
      <c r="C3" s="28"/>
      <c r="D3" s="28"/>
      <c r="E3" s="800"/>
      <c r="F3" s="29"/>
      <c r="G3" s="29"/>
      <c r="H3" s="29"/>
      <c r="I3" s="29"/>
      <c r="J3" s="1323"/>
    </row>
    <row r="4" spans="1:15" ht="18.75">
      <c r="A4" s="389"/>
      <c r="B4" s="1220"/>
      <c r="C4" s="30"/>
      <c r="D4" s="30"/>
      <c r="E4" s="801"/>
      <c r="F4" s="31"/>
      <c r="G4" s="31"/>
      <c r="I4" s="261"/>
      <c r="J4" s="32" t="s">
        <v>1008</v>
      </c>
    </row>
    <row r="5" spans="1:15" ht="31.5">
      <c r="A5" s="1058" t="s">
        <v>196</v>
      </c>
      <c r="B5" s="1057" t="s">
        <v>42</v>
      </c>
      <c r="C5" s="1057" t="s">
        <v>641</v>
      </c>
      <c r="D5" s="1057" t="s">
        <v>127</v>
      </c>
      <c r="E5" s="1057" t="s">
        <v>44</v>
      </c>
      <c r="F5" s="1057" t="s">
        <v>488</v>
      </c>
      <c r="G5" s="1057" t="s">
        <v>46</v>
      </c>
      <c r="H5" s="1057" t="s">
        <v>489</v>
      </c>
      <c r="I5" s="1057" t="s">
        <v>94</v>
      </c>
      <c r="J5" s="631" t="s">
        <v>615</v>
      </c>
    </row>
    <row r="6" spans="1:15" ht="15.75">
      <c r="A6" s="1093"/>
      <c r="B6" s="1094"/>
      <c r="C6" s="1094"/>
      <c r="D6" s="1094"/>
      <c r="E6" s="1094"/>
      <c r="F6" s="1094"/>
      <c r="G6" s="1094"/>
      <c r="H6" s="1094"/>
      <c r="I6" s="1094"/>
      <c r="J6" s="1095"/>
    </row>
    <row r="7" spans="1:15" ht="15.75" hidden="1">
      <c r="A7" s="1093"/>
      <c r="B7" s="1094"/>
      <c r="C7" s="1094"/>
      <c r="D7" s="1094"/>
      <c r="E7" s="1094"/>
      <c r="F7" s="1094"/>
      <c r="G7" s="1094"/>
      <c r="H7" s="1094"/>
      <c r="I7" s="1094"/>
      <c r="J7" s="1095"/>
    </row>
    <row r="8" spans="1:15" s="853" customFormat="1" ht="31.5">
      <c r="A8" s="596">
        <v>1</v>
      </c>
      <c r="B8" s="597" t="s">
        <v>330</v>
      </c>
      <c r="C8" s="465"/>
      <c r="D8" s="35"/>
      <c r="E8" s="50" t="s">
        <v>48</v>
      </c>
      <c r="F8" s="36">
        <f ca="1">SUM(F9:F16)</f>
        <v>344033167.17430645</v>
      </c>
      <c r="G8" s="36">
        <f ca="1">SUM(G9:G16)</f>
        <v>34403316.717430644</v>
      </c>
      <c r="H8" s="36">
        <f ca="1">SUM(H9:H16)</f>
        <v>378436483.8917371</v>
      </c>
      <c r="I8" s="262" t="s">
        <v>521</v>
      </c>
      <c r="J8" s="1317" t="s">
        <v>1015</v>
      </c>
      <c r="M8" s="818"/>
      <c r="N8" s="818"/>
      <c r="O8" s="1017"/>
    </row>
    <row r="9" spans="1:15" s="853" customFormat="1" ht="15.75">
      <c r="A9" s="1937" t="s">
        <v>1173</v>
      </c>
      <c r="B9" s="991" t="str">
        <f>"HẠNG MỤC: "&amp;'Du toan XD'!F9</f>
        <v>HẠNG MỤC: CÔNG TÁC ĐẤT</v>
      </c>
      <c r="C9" s="465"/>
      <c r="D9" s="35"/>
      <c r="E9" s="50"/>
      <c r="F9" s="38">
        <f ca="1">'THCP xay dung'!D24</f>
        <v>1778530.1310742549</v>
      </c>
      <c r="G9" s="38">
        <f ca="1">'THCP xay dung'!D25</f>
        <v>177853.0131074255</v>
      </c>
      <c r="H9" s="38">
        <f ca="1">'THCP xay dung'!D26</f>
        <v>1956383.1441816804</v>
      </c>
      <c r="I9" s="173"/>
      <c r="J9" s="1317"/>
      <c r="M9" s="64"/>
      <c r="N9" s="64"/>
      <c r="O9" s="1458"/>
    </row>
    <row r="10" spans="1:15" s="853" customFormat="1" ht="15.75">
      <c r="A10" s="1937" t="s">
        <v>1174</v>
      </c>
      <c r="B10" s="991" t="str">
        <f>"HẠNG MỤC: "&amp;'Du toan XD'!F65</f>
        <v>HẠNG MỤC: PHẦN MÓNG</v>
      </c>
      <c r="C10" s="465"/>
      <c r="D10" s="35"/>
      <c r="E10" s="50"/>
      <c r="F10" s="38">
        <f ca="1">'THCP xay dung'!D53</f>
        <v>65990266.677535884</v>
      </c>
      <c r="G10" s="38">
        <f ca="1">'THCP xay dung'!D54</f>
        <v>6599026.6677535884</v>
      </c>
      <c r="H10" s="38">
        <f ca="1">'THCP xay dung'!D55</f>
        <v>72589293.345289469</v>
      </c>
      <c r="I10" s="173"/>
      <c r="J10" s="1317"/>
      <c r="M10" s="64"/>
      <c r="N10" s="64"/>
      <c r="O10" s="1458"/>
    </row>
    <row r="11" spans="1:15" s="853" customFormat="1" ht="15.75">
      <c r="A11" s="1937" t="s">
        <v>1338</v>
      </c>
      <c r="B11" s="991" t="str">
        <f>"HẠNG MỤC: "&amp;'Du toan XD'!F104</f>
        <v>HẠNG MỤC: PHẦN THÂN</v>
      </c>
      <c r="C11" s="465"/>
      <c r="D11" s="35"/>
      <c r="E11" s="50"/>
      <c r="F11" s="38">
        <f ca="1">'THCP xay dung'!D82</f>
        <v>50593678.16771163</v>
      </c>
      <c r="G11" s="38">
        <f ca="1">'THCP xay dung'!D83</f>
        <v>5059367.8167711636</v>
      </c>
      <c r="H11" s="38">
        <f ca="1">'THCP xay dung'!D84</f>
        <v>55653045.984482795</v>
      </c>
      <c r="I11" s="173"/>
      <c r="J11" s="1317"/>
      <c r="M11" s="64"/>
      <c r="N11" s="64"/>
      <c r="O11" s="1458"/>
    </row>
    <row r="12" spans="1:15" s="853" customFormat="1" ht="15.75">
      <c r="A12" s="1937" t="s">
        <v>1339</v>
      </c>
      <c r="B12" s="991" t="str">
        <f>"HẠNG MỤC: "&amp;'Du toan XD'!F172</f>
        <v>HẠNG MỤC: CÔNG TÁC XÂY</v>
      </c>
      <c r="C12" s="465"/>
      <c r="D12" s="35"/>
      <c r="E12" s="50"/>
      <c r="F12" s="38">
        <f ca="1">'THCP xay dung'!D111</f>
        <v>73052455.057878882</v>
      </c>
      <c r="G12" s="38">
        <f ca="1">'THCP xay dung'!D112</f>
        <v>7305245.5057878885</v>
      </c>
      <c r="H12" s="38">
        <f ca="1">'THCP xay dung'!D113</f>
        <v>80357700.563666776</v>
      </c>
      <c r="I12" s="173"/>
      <c r="J12" s="1317"/>
      <c r="M12" s="64"/>
      <c r="N12" s="64"/>
      <c r="O12" s="1458"/>
    </row>
    <row r="13" spans="1:15" s="853" customFormat="1" ht="15.75">
      <c r="A13" s="1937" t="s">
        <v>1358</v>
      </c>
      <c r="B13" s="991" t="str">
        <f>"HẠNG MỤC: "&amp;'Du toan XD'!F207</f>
        <v>HẠNG MỤC: HỆ KÉT CẤU MÁI</v>
      </c>
      <c r="C13" s="465"/>
      <c r="D13" s="35"/>
      <c r="E13" s="50"/>
      <c r="F13" s="38">
        <f ca="1">'THCP xay dung'!D140</f>
        <v>13518029.686551811</v>
      </c>
      <c r="G13" s="38">
        <f ca="1">'THCP xay dung'!D141</f>
        <v>1351802.9686551811</v>
      </c>
      <c r="H13" s="38">
        <f ca="1">'THCP xay dung'!D142</f>
        <v>14869832.655206993</v>
      </c>
      <c r="I13" s="173"/>
      <c r="J13" s="1317"/>
      <c r="M13" s="64"/>
      <c r="N13" s="64"/>
      <c r="O13" s="1458"/>
    </row>
    <row r="14" spans="1:15" s="853" customFormat="1" ht="15.75">
      <c r="A14" s="1937" t="s">
        <v>1643</v>
      </c>
      <c r="B14" s="991" t="str">
        <f>"HẠNG MỤC: "&amp;'Du toan XD'!F215</f>
        <v>HẠNG MỤC: PHẦN HOÀN THIỆN</v>
      </c>
      <c r="C14" s="465"/>
      <c r="D14" s="35"/>
      <c r="E14" s="50"/>
      <c r="F14" s="38">
        <f ca="1">'THCP xay dung'!D169</f>
        <v>75263808.586996004</v>
      </c>
      <c r="G14" s="38">
        <f ca="1">'THCP xay dung'!D170</f>
        <v>7526380.8586996011</v>
      </c>
      <c r="H14" s="38">
        <f ca="1">'THCP xay dung'!D171</f>
        <v>82790189.445695609</v>
      </c>
      <c r="I14" s="173"/>
      <c r="J14" s="1317"/>
      <c r="M14" s="64"/>
      <c r="N14" s="64"/>
      <c r="O14" s="1458"/>
    </row>
    <row r="15" spans="1:15" s="853" customFormat="1" ht="15.75">
      <c r="A15" s="1937" t="s">
        <v>1645</v>
      </c>
      <c r="B15" s="991" t="str">
        <f>"HẠNG MỤC: "&amp;'Du toan XD'!F290</f>
        <v>HẠNG MỤC: HỆ CỬA</v>
      </c>
      <c r="C15" s="465"/>
      <c r="D15" s="35"/>
      <c r="E15" s="50"/>
      <c r="F15" s="38">
        <f ca="1">'THCP xay dung'!D198</f>
        <v>51140674.592237972</v>
      </c>
      <c r="G15" s="38">
        <f ca="1">'THCP xay dung'!D199</f>
        <v>5114067.4592237975</v>
      </c>
      <c r="H15" s="38">
        <f ca="1">'THCP xay dung'!D200</f>
        <v>56254742.051461771</v>
      </c>
      <c r="I15" s="173"/>
      <c r="J15" s="1317"/>
      <c r="M15" s="64"/>
      <c r="N15" s="64"/>
      <c r="O15" s="1458"/>
    </row>
    <row r="16" spans="1:15" s="853" customFormat="1" ht="15.75">
      <c r="A16" s="1937" t="s">
        <v>1647</v>
      </c>
      <c r="B16" s="991" t="str">
        <f>"HẠNG MỤC: "&amp;'Du toan XD'!F311</f>
        <v>HẠNG MỤC: PHẦN ĐIỆN</v>
      </c>
      <c r="C16" s="465"/>
      <c r="D16" s="35"/>
      <c r="E16" s="50"/>
      <c r="F16" s="38">
        <f ca="1">'THCP xay dung'!D227</f>
        <v>12695724.274319999</v>
      </c>
      <c r="G16" s="38">
        <f ca="1">'THCP xay dung'!D228</f>
        <v>1269572.4274319999</v>
      </c>
      <c r="H16" s="38">
        <f ca="1">'THCP xay dung'!D229</f>
        <v>13965296.701752</v>
      </c>
      <c r="I16" s="173"/>
      <c r="J16" s="1317"/>
      <c r="M16" s="64"/>
      <c r="N16" s="64"/>
      <c r="O16" s="1458"/>
    </row>
    <row r="17" spans="1:35" s="853" customFormat="1" ht="15.75">
      <c r="A17" s="463"/>
      <c r="B17" s="991"/>
      <c r="C17" s="465"/>
      <c r="D17" s="35"/>
      <c r="E17" s="50"/>
      <c r="F17" s="38"/>
      <c r="G17" s="38"/>
      <c r="H17" s="38"/>
      <c r="I17" s="173"/>
      <c r="J17" s="1317"/>
      <c r="M17" s="818"/>
      <c r="N17" s="818"/>
      <c r="O17" s="1017"/>
    </row>
    <row r="18" spans="1:35" s="853" customFormat="1" ht="15.75">
      <c r="A18" s="463"/>
      <c r="B18" s="991"/>
      <c r="C18" s="465"/>
      <c r="D18" s="35"/>
      <c r="E18" s="50"/>
      <c r="F18" s="38"/>
      <c r="G18" s="38"/>
      <c r="H18" s="38"/>
      <c r="I18" s="173"/>
      <c r="J18" s="1317"/>
      <c r="M18" s="818"/>
      <c r="N18" s="818"/>
      <c r="O18" s="1017"/>
    </row>
    <row r="19" spans="1:35" s="853" customFormat="1" ht="15.75">
      <c r="A19" s="463"/>
      <c r="B19" s="991"/>
      <c r="C19" s="465"/>
      <c r="D19" s="35"/>
      <c r="E19" s="50"/>
      <c r="F19" s="38"/>
      <c r="G19" s="38"/>
      <c r="H19" s="38"/>
      <c r="I19" s="173"/>
      <c r="J19" s="1317"/>
      <c r="M19" s="818"/>
      <c r="N19" s="818"/>
      <c r="O19" s="1017"/>
    </row>
    <row r="20" spans="1:35" s="853" customFormat="1" ht="15.75">
      <c r="A20" s="463"/>
      <c r="B20" s="991"/>
      <c r="C20" s="465"/>
      <c r="D20" s="35"/>
      <c r="E20" s="50"/>
      <c r="F20" s="38"/>
      <c r="G20" s="38"/>
      <c r="H20" s="38"/>
      <c r="I20" s="173"/>
      <c r="J20" s="1317"/>
      <c r="M20" s="818"/>
      <c r="N20" s="818"/>
      <c r="O20" s="1017"/>
    </row>
    <row r="21" spans="1:35" s="853" customFormat="1" ht="15.75">
      <c r="A21" s="463"/>
      <c r="B21" s="37"/>
      <c r="C21" s="465"/>
      <c r="D21" s="35"/>
      <c r="E21" s="50"/>
      <c r="F21" s="38"/>
      <c r="G21" s="38"/>
      <c r="H21" s="38"/>
      <c r="I21" s="173"/>
      <c r="J21" s="1317"/>
      <c r="M21" s="818"/>
      <c r="N21" s="818"/>
      <c r="O21" s="1017"/>
    </row>
    <row r="22" spans="1:35" s="853" customFormat="1" ht="31.5">
      <c r="A22" s="596">
        <v>2</v>
      </c>
      <c r="B22" s="597" t="s">
        <v>331</v>
      </c>
      <c r="C22" s="465"/>
      <c r="D22" s="35"/>
      <c r="E22" s="50" t="s">
        <v>48</v>
      </c>
      <c r="F22" s="36">
        <f ca="1">'THCP thiet bi'!E25</f>
        <v>0</v>
      </c>
      <c r="G22" s="36">
        <f ca="1">'THCP thiet bi'!F25</f>
        <v>0</v>
      </c>
      <c r="H22" s="36">
        <f ca="1">'THCP thiet bi'!G25</f>
        <v>0</v>
      </c>
      <c r="I22" s="262" t="s">
        <v>522</v>
      </c>
      <c r="J22" s="1317" t="s">
        <v>1012</v>
      </c>
      <c r="M22" s="818"/>
      <c r="N22" s="818"/>
      <c r="O22" s="818"/>
    </row>
    <row r="23" spans="1:35" s="853" customFormat="1" ht="31.5">
      <c r="A23" s="596">
        <v>3</v>
      </c>
      <c r="B23" s="597" t="s">
        <v>74</v>
      </c>
      <c r="C23" s="465">
        <f>DMTL!T20</f>
        <v>3.5569999999999999</v>
      </c>
      <c r="D23" s="35"/>
      <c r="E23" s="50" t="str">
        <f>IF(DMTL!D4=2,IF(D23&lt;&gt;0,"Nt*(GXDtt+GTBtt)*Hệ số","Nt*(GXDtt+GTBtt)"),IF(D23&lt;&gt;0,"Nt*(CPXD_TMDT+CPTB_TMDT)*Hệ số","Nt*(CPXD_TMDT+CPTB_TMDT)"))</f>
        <v>Nt*(CPXD_TMDT+CPTB_TMDT)</v>
      </c>
      <c r="F23" s="36">
        <f>IF(DMTL!D4=2,PRODUCT(C23*(GXDtt+GTBtt)/100,D23),PRODUCT(C23*(Ts!M26+Ts!M27)/100,D23))</f>
        <v>0</v>
      </c>
      <c r="G23" s="36"/>
      <c r="H23" s="36">
        <f>F23</f>
        <v>0</v>
      </c>
      <c r="I23" s="262" t="s">
        <v>523</v>
      </c>
      <c r="J23" s="1317" t="s">
        <v>1011</v>
      </c>
      <c r="M23" s="818"/>
      <c r="N23" s="818"/>
      <c r="O23" s="818"/>
    </row>
    <row r="24" spans="1:35" s="853" customFormat="1" ht="31.5">
      <c r="A24" s="596">
        <v>4</v>
      </c>
      <c r="B24" s="597" t="s">
        <v>332</v>
      </c>
      <c r="C24" s="465"/>
      <c r="D24" s="35"/>
      <c r="E24" s="50"/>
      <c r="F24" s="36"/>
      <c r="G24" s="36">
        <f>'THCP tu van'!H10</f>
        <v>0</v>
      </c>
      <c r="H24" s="36">
        <f>'THCP tu van'!I10</f>
        <v>0</v>
      </c>
      <c r="I24" s="262" t="s">
        <v>524</v>
      </c>
      <c r="J24" s="1317" t="s">
        <v>1014</v>
      </c>
      <c r="M24" s="818"/>
      <c r="N24" s="818"/>
      <c r="O24" s="818"/>
    </row>
    <row r="25" spans="1:35" s="853" customFormat="1" ht="15.75">
      <c r="A25" s="463"/>
      <c r="B25" s="991"/>
      <c r="C25" s="465"/>
      <c r="D25" s="35"/>
      <c r="E25" s="50"/>
      <c r="F25" s="38"/>
      <c r="G25" s="38"/>
      <c r="H25" s="38"/>
      <c r="I25" s="173"/>
      <c r="J25" s="1182"/>
      <c r="M25" s="818"/>
      <c r="N25" s="818"/>
      <c r="O25" s="818"/>
    </row>
    <row r="26" spans="1:35" ht="15.75">
      <c r="A26" s="463"/>
      <c r="B26" s="37"/>
      <c r="C26" s="466"/>
      <c r="D26" s="50"/>
      <c r="E26" s="50"/>
      <c r="F26" s="65"/>
      <c r="G26" s="65"/>
      <c r="H26" s="65"/>
      <c r="I26" s="353"/>
      <c r="J26" s="1182"/>
      <c r="L26" s="157"/>
      <c r="O26" s="157"/>
      <c r="P26" s="157"/>
      <c r="Q26" s="157"/>
      <c r="R26" s="157"/>
      <c r="S26" s="157"/>
      <c r="T26" s="157"/>
      <c r="U26" s="157"/>
      <c r="V26" s="157"/>
      <c r="W26" s="157"/>
      <c r="Z26" s="157"/>
      <c r="AA26" s="157"/>
      <c r="AB26" s="157"/>
      <c r="AC26" s="157"/>
      <c r="AD26" s="157"/>
      <c r="AE26" s="157"/>
      <c r="AF26" s="157"/>
      <c r="AG26" s="157"/>
      <c r="AH26" s="157"/>
      <c r="AI26" s="157"/>
    </row>
    <row r="27" spans="1:35" ht="47.25">
      <c r="A27" s="596">
        <v>5</v>
      </c>
      <c r="B27" s="34" t="s">
        <v>150</v>
      </c>
      <c r="C27" s="466"/>
      <c r="D27" s="50"/>
      <c r="E27" s="50"/>
      <c r="F27" s="66">
        <f>'THCP khac'!G10</f>
        <v>0</v>
      </c>
      <c r="G27" s="66">
        <f>'THCP khac'!H10</f>
        <v>0</v>
      </c>
      <c r="H27" s="66">
        <f>'THCP khac'!I10</f>
        <v>0</v>
      </c>
      <c r="I27" s="852" t="s">
        <v>525</v>
      </c>
      <c r="J27" s="1317" t="s">
        <v>1013</v>
      </c>
      <c r="L27" s="854"/>
      <c r="O27" s="854"/>
      <c r="P27" s="854"/>
      <c r="Q27" s="854"/>
      <c r="R27" s="854"/>
      <c r="S27" s="854"/>
      <c r="T27" s="854"/>
      <c r="U27" s="854"/>
      <c r="V27" s="854"/>
      <c r="W27" s="854"/>
      <c r="Z27" s="854"/>
      <c r="AA27" s="854"/>
      <c r="AB27" s="854"/>
      <c r="AC27" s="854"/>
      <c r="AD27" s="854"/>
      <c r="AE27" s="854"/>
      <c r="AF27" s="854"/>
      <c r="AG27" s="854"/>
      <c r="AH27" s="854"/>
      <c r="AI27" s="854"/>
    </row>
    <row r="28" spans="1:35" ht="15.75">
      <c r="A28" s="464"/>
      <c r="B28" s="37"/>
      <c r="C28" s="466"/>
      <c r="D28" s="50"/>
      <c r="E28" s="50"/>
      <c r="F28" s="65"/>
      <c r="G28" s="65"/>
      <c r="H28" s="65"/>
      <c r="I28" s="852"/>
      <c r="J28" s="1182"/>
      <c r="L28" s="157"/>
      <c r="O28" s="157"/>
      <c r="P28" s="157"/>
      <c r="Q28" s="157"/>
      <c r="R28" s="157"/>
      <c r="S28" s="157"/>
      <c r="T28" s="157"/>
      <c r="U28" s="157"/>
      <c r="V28" s="157"/>
      <c r="W28" s="157"/>
      <c r="Z28" s="157"/>
      <c r="AA28" s="157"/>
      <c r="AB28" s="157"/>
      <c r="AC28" s="157"/>
      <c r="AD28" s="157"/>
      <c r="AE28" s="157"/>
      <c r="AF28" s="157"/>
      <c r="AG28" s="157"/>
      <c r="AH28" s="157"/>
      <c r="AI28" s="157"/>
    </row>
    <row r="29" spans="1:35" ht="15.75">
      <c r="A29" s="464"/>
      <c r="B29" s="37"/>
      <c r="C29" s="466"/>
      <c r="D29" s="50"/>
      <c r="E29" s="50"/>
      <c r="F29" s="65"/>
      <c r="G29" s="65"/>
      <c r="H29" s="65"/>
      <c r="I29" s="353"/>
      <c r="J29" s="1182"/>
      <c r="L29" s="157"/>
      <c r="O29" s="157"/>
      <c r="P29" s="157"/>
      <c r="Q29" s="157"/>
      <c r="R29" s="157"/>
      <c r="S29" s="157"/>
      <c r="T29" s="157"/>
      <c r="U29" s="157"/>
      <c r="V29" s="157"/>
      <c r="W29" s="157"/>
      <c r="Z29" s="157"/>
      <c r="AA29" s="157"/>
      <c r="AB29" s="157"/>
      <c r="AC29" s="157"/>
      <c r="AD29" s="157"/>
      <c r="AE29" s="157"/>
      <c r="AF29" s="157"/>
      <c r="AG29" s="157"/>
      <c r="AH29" s="157"/>
      <c r="AI29" s="157"/>
    </row>
    <row r="30" spans="1:35" ht="31.5">
      <c r="A30" s="596">
        <v>6</v>
      </c>
      <c r="B30" s="34" t="s">
        <v>526</v>
      </c>
      <c r="C30" s="465"/>
      <c r="D30" s="35"/>
      <c r="E30" s="636" t="s">
        <v>584</v>
      </c>
      <c r="F30" s="36">
        <f ca="1">H30/1.1</f>
        <v>21919667.304575235</v>
      </c>
      <c r="G30" s="36">
        <f ca="1">H30-F30</f>
        <v>2191966.7304575257</v>
      </c>
      <c r="H30" s="36">
        <f ca="1">'CP Du phong'!D108</f>
        <v>24111634.03503276</v>
      </c>
      <c r="I30" s="262" t="s">
        <v>527</v>
      </c>
      <c r="J30" s="1315" t="s">
        <v>1010</v>
      </c>
      <c r="L30" s="853"/>
      <c r="O30" s="853"/>
      <c r="P30" s="853"/>
      <c r="Q30" s="853"/>
      <c r="R30" s="853"/>
      <c r="S30" s="853"/>
      <c r="T30" s="853"/>
      <c r="U30" s="853"/>
      <c r="V30" s="853"/>
      <c r="W30" s="853"/>
      <c r="Z30" s="853"/>
      <c r="AA30" s="853"/>
      <c r="AB30" s="853"/>
      <c r="AC30" s="853"/>
      <c r="AD30" s="853"/>
      <c r="AE30" s="853"/>
      <c r="AF30" s="853"/>
      <c r="AG30" s="853"/>
      <c r="AH30" s="853"/>
      <c r="AI30" s="853"/>
    </row>
    <row r="31" spans="1:35" ht="31.5">
      <c r="A31" s="463" t="s">
        <v>325</v>
      </c>
      <c r="B31" s="37" t="s">
        <v>952</v>
      </c>
      <c r="C31" s="465"/>
      <c r="D31" s="35"/>
      <c r="E31" s="636" t="s">
        <v>847</v>
      </c>
      <c r="F31" s="38">
        <f ca="1">H31/1.1</f>
        <v>17201658.358715322</v>
      </c>
      <c r="G31" s="38">
        <f ca="1">H31-F31</f>
        <v>1720165.8358715326</v>
      </c>
      <c r="H31" s="38">
        <f ca="1">CPDP_PS1</f>
        <v>18921824.194586854</v>
      </c>
      <c r="I31" s="262" t="s">
        <v>528</v>
      </c>
      <c r="J31" s="1182"/>
    </row>
    <row r="32" spans="1:35" ht="33.6" customHeight="1">
      <c r="A32" s="463" t="s">
        <v>326</v>
      </c>
      <c r="B32" s="37" t="s">
        <v>328</v>
      </c>
      <c r="C32" s="465"/>
      <c r="D32" s="35"/>
      <c r="E32" s="636" t="s">
        <v>1009</v>
      </c>
      <c r="F32" s="38">
        <f ca="1">H32/1.1</f>
        <v>4718008.9458599137</v>
      </c>
      <c r="G32" s="38">
        <f ca="1">H32-F32</f>
        <v>471800.89458599221</v>
      </c>
      <c r="H32" s="38">
        <f ca="1">'CP Du phong'!I106</f>
        <v>5189809.8404459059</v>
      </c>
      <c r="I32" s="262" t="s">
        <v>529</v>
      </c>
      <c r="J32" s="1315"/>
    </row>
    <row r="33" spans="1:10" ht="15.75">
      <c r="A33" s="390"/>
      <c r="B33" s="39" t="s">
        <v>49</v>
      </c>
      <c r="C33" s="40"/>
      <c r="D33" s="40"/>
      <c r="E33" s="636" t="s">
        <v>50</v>
      </c>
      <c r="F33" s="36">
        <f ca="1">F8+F22+F23+F24+F27+F30</f>
        <v>365952834.47888172</v>
      </c>
      <c r="G33" s="36">
        <f ca="1">G8+G22+G23+G24+G27+G30</f>
        <v>36595283.447888166</v>
      </c>
      <c r="H33" s="36">
        <f ca="1">H8+H22+H23+H24+H27+H30</f>
        <v>402548117.92676985</v>
      </c>
      <c r="I33" s="262"/>
      <c r="J33" s="1182"/>
    </row>
    <row r="34" spans="1:10" ht="15.75">
      <c r="A34" s="1014"/>
      <c r="B34" s="1016" t="s">
        <v>675</v>
      </c>
      <c r="C34" s="41"/>
      <c r="D34" s="41"/>
      <c r="E34" s="51"/>
      <c r="F34" s="42">
        <f ca="1">ROUND(F33,-3)</f>
        <v>365953000</v>
      </c>
      <c r="G34" s="42">
        <f ca="1">ROUND(G33,-3)</f>
        <v>36595000</v>
      </c>
      <c r="H34" s="42">
        <f ca="1">ROUND(H33,-3)</f>
        <v>402548000</v>
      </c>
      <c r="I34" s="263"/>
      <c r="J34" s="263"/>
    </row>
    <row r="35" spans="1:10" ht="15.75">
      <c r="A35" s="391"/>
      <c r="B35" s="44"/>
      <c r="C35" s="43"/>
      <c r="D35" s="43"/>
      <c r="E35" s="44"/>
      <c r="F35" s="45"/>
      <c r="G35" s="45"/>
      <c r="H35" s="45"/>
      <c r="I35" s="174"/>
      <c r="J35" s="174"/>
    </row>
    <row r="36" spans="1:10" ht="15.75">
      <c r="A36" s="391"/>
      <c r="B36" s="44" t="s">
        <v>51</v>
      </c>
      <c r="C36" s="43"/>
      <c r="D36" s="43"/>
      <c r="E36" s="44"/>
      <c r="F36" s="46" t="s">
        <v>52</v>
      </c>
      <c r="G36" s="756"/>
      <c r="H36" s="46"/>
      <c r="I36" s="174"/>
      <c r="J36" s="174"/>
    </row>
    <row r="37" spans="1:10" ht="15.75">
      <c r="A37" s="391"/>
      <c r="B37" s="44"/>
      <c r="C37" s="43"/>
      <c r="D37" s="43"/>
      <c r="E37" s="44"/>
      <c r="F37" s="818"/>
      <c r="G37" s="756"/>
      <c r="H37" s="46"/>
      <c r="I37" s="174"/>
      <c r="J37" s="174"/>
    </row>
    <row r="38" spans="1:10" ht="15.75">
      <c r="A38" s="391"/>
      <c r="B38" s="44"/>
      <c r="C38" s="43"/>
      <c r="D38" s="43"/>
      <c r="E38" s="44"/>
      <c r="F38" s="818"/>
      <c r="G38" s="756"/>
      <c r="H38" s="46"/>
      <c r="I38" s="174"/>
      <c r="J38" s="174"/>
    </row>
    <row r="39" spans="1:10" ht="15.75">
      <c r="A39" s="391"/>
      <c r="B39" s="44"/>
      <c r="C39" s="43"/>
      <c r="D39" s="43"/>
      <c r="E39" s="44"/>
      <c r="F39" s="45"/>
      <c r="G39" s="45"/>
      <c r="H39" s="45"/>
      <c r="I39" s="174"/>
      <c r="J39" s="174"/>
    </row>
    <row r="40" spans="1:10" ht="15.75">
      <c r="A40" s="391"/>
      <c r="B40" s="44"/>
      <c r="C40" s="43"/>
      <c r="D40" s="43"/>
      <c r="E40" s="44"/>
      <c r="F40" s="47" t="s">
        <v>329</v>
      </c>
      <c r="G40" s="46"/>
      <c r="H40" s="46"/>
      <c r="I40" s="174"/>
      <c r="J40" s="174"/>
    </row>
  </sheetData>
  <phoneticPr fontId="60" type="noConversion"/>
  <hyperlinks>
    <hyperlink ref="J30" r:id="rId1" location="_6-xac-dinh-chi-phi-du-phong-gdp"/>
    <hyperlink ref="J27" r:id="rId2" location="_5-xac-dinh-chi-phi-khac-gk" display="Khoản 6 Điều 5 và điểm 5 Mục 1 Phụ lục II Thông tư 11/2021/TT-BXD"/>
    <hyperlink ref="J23" r:id="rId3" location="_3-xac-dinh-chi-phi-quan-ly-du-an-gqlda"/>
    <hyperlink ref="J22" r:id="rId4" location="_2-xac-dinh-chi-phi-thiet-bi-gtb"/>
    <hyperlink ref="J8" r:id="rId5" location="phu-luc-iii-phuong-phap-xac-dinh-chi-phi-xay-dung" display="Phụ lục III Thông tư 11/2021/TT-BXD"/>
    <hyperlink ref="J24" r:id="rId6" location="_4-xac-dinh-chi-phi-tu-van-dau-tu-xay-dung-gtv"/>
  </hyperlinks>
  <printOptions horizontalCentered="1"/>
  <pageMargins left="0.75" right="0.25" top="0.5" bottom="0.5" header="0.25" footer="0.25"/>
  <pageSetup paperSize="9" orientation="landscape" blackAndWhite="1" horizontalDpi="300" verticalDpi="300" r:id="rId7"/>
  <headerFooter>
    <oddFooter>&amp;C&amp;P</oddFooter>
  </headerFooter>
  <ignoredErrors>
    <ignoredError sqref="A2:A3" unlockedFormula="1"/>
  </ignoredErrors>
  <legacyDrawing r:id="rId8"/>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rgb="FF00B0F0"/>
  </sheetPr>
  <dimension ref="A1:AH13"/>
  <sheetViews>
    <sheetView showZeros="0" zoomScaleSheetLayoutView="100" workbookViewId="0">
      <selection activeCell="M35" sqref="M35"/>
    </sheetView>
  </sheetViews>
  <sheetFormatPr defaultColWidth="9" defaultRowHeight="15"/>
  <cols>
    <col min="1" max="1" width="4.85546875" style="817" customWidth="1"/>
    <col min="2" max="2" width="6.42578125" style="155" customWidth="1"/>
    <col min="3" max="3" width="41.140625" style="267" customWidth="1"/>
    <col min="4" max="4" width="9" style="267" customWidth="1"/>
    <col min="5" max="5" width="7.5703125" style="155" customWidth="1"/>
    <col min="6" max="6" width="22.85546875" style="267" customWidth="1"/>
    <col min="7" max="7" width="18.42578125" style="155" customWidth="1"/>
    <col min="8" max="8" width="14" style="155" customWidth="1"/>
    <col min="9" max="9" width="17.140625" style="155" customWidth="1"/>
    <col min="10" max="10" width="43.5703125" style="856" customWidth="1"/>
    <col min="11" max="16384" width="9" style="818"/>
  </cols>
  <sheetData>
    <row r="1" spans="1:34" ht="23.25">
      <c r="B1" s="449" t="s">
        <v>374</v>
      </c>
      <c r="C1" s="810"/>
      <c r="D1" s="812"/>
      <c r="E1" s="815"/>
      <c r="F1" s="812"/>
      <c r="G1" s="428"/>
      <c r="H1" s="428"/>
      <c r="I1" s="428"/>
    </row>
    <row r="2" spans="1:34" ht="22.15" customHeight="1">
      <c r="A2" s="819"/>
      <c r="B2" s="287"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811"/>
      <c r="D2" s="811"/>
      <c r="E2" s="816"/>
      <c r="F2" s="811"/>
      <c r="G2" s="431"/>
      <c r="H2" s="431"/>
      <c r="I2" s="431"/>
    </row>
    <row r="3" spans="1:34" ht="22.15" customHeight="1">
      <c r="A3" s="819"/>
      <c r="B3" s="287" t="str">
        <f>'Bia-Dutoan'!D43&amp;'Bia-Dutoan'!E43</f>
        <v>CÔNG TRÌNH: NHÀ 01 TẦNG, TƯỜNG CHỊU LỰC 110MM, MÁI LỢP FIBRÔXIMĂNG, KHÔNG CÓ KHU VỆ SINH KHÉP KÍN</v>
      </c>
      <c r="C3" s="811"/>
      <c r="D3" s="811"/>
      <c r="E3" s="816"/>
      <c r="F3" s="811"/>
      <c r="G3" s="431"/>
      <c r="H3" s="431"/>
      <c r="I3" s="431"/>
    </row>
    <row r="4" spans="1:34" ht="15.75">
      <c r="B4" s="359"/>
      <c r="C4" s="801"/>
      <c r="D4" s="801"/>
      <c r="E4" s="30"/>
      <c r="F4" s="813"/>
      <c r="G4" s="31"/>
      <c r="H4" s="49"/>
      <c r="I4" s="32" t="s">
        <v>310</v>
      </c>
    </row>
    <row r="5" spans="1:34" ht="31.5">
      <c r="B5" s="1056" t="s">
        <v>196</v>
      </c>
      <c r="C5" s="1057" t="s">
        <v>42</v>
      </c>
      <c r="D5" s="1057" t="s">
        <v>43</v>
      </c>
      <c r="E5" s="1057" t="s">
        <v>127</v>
      </c>
      <c r="F5" s="1057" t="s">
        <v>44</v>
      </c>
      <c r="G5" s="1057" t="s">
        <v>488</v>
      </c>
      <c r="H5" s="1057" t="s">
        <v>46</v>
      </c>
      <c r="I5" s="1057" t="s">
        <v>490</v>
      </c>
      <c r="J5" s="1057" t="s">
        <v>615</v>
      </c>
    </row>
    <row r="6" spans="1:34" ht="15.75">
      <c r="A6" s="820"/>
      <c r="B6" s="388"/>
      <c r="C6" s="37"/>
      <c r="D6" s="466"/>
      <c r="E6" s="50"/>
      <c r="F6" s="50"/>
      <c r="G6" s="38"/>
      <c r="H6" s="38"/>
      <c r="I6" s="38"/>
      <c r="J6" s="37"/>
      <c r="K6" s="64"/>
      <c r="L6" s="64"/>
      <c r="M6" s="64"/>
      <c r="N6" s="64"/>
      <c r="O6" s="64"/>
      <c r="P6" s="64"/>
      <c r="Q6" s="64"/>
      <c r="R6" s="64"/>
      <c r="S6" s="64"/>
      <c r="T6" s="64"/>
      <c r="U6" s="64"/>
      <c r="V6" s="64"/>
      <c r="W6" s="64"/>
      <c r="X6" s="64"/>
      <c r="Y6" s="64"/>
      <c r="Z6" s="64"/>
      <c r="AA6" s="64"/>
      <c r="AB6" s="64"/>
      <c r="AC6" s="64"/>
      <c r="AD6" s="64"/>
      <c r="AE6" s="64"/>
      <c r="AF6" s="64"/>
      <c r="AG6" s="64"/>
      <c r="AH6" s="64"/>
    </row>
    <row r="7" spans="1:34" ht="15.75">
      <c r="A7" s="820"/>
      <c r="B7" s="388"/>
      <c r="C7" s="37"/>
      <c r="D7" s="466"/>
      <c r="E7" s="50"/>
      <c r="F7" s="50"/>
      <c r="G7" s="38"/>
      <c r="H7" s="38"/>
      <c r="I7" s="38"/>
      <c r="J7" s="37"/>
      <c r="K7" s="64"/>
      <c r="L7" s="64"/>
      <c r="M7" s="64"/>
      <c r="N7" s="64"/>
      <c r="O7" s="64"/>
      <c r="P7" s="64"/>
      <c r="Q7" s="64"/>
      <c r="R7" s="64"/>
      <c r="S7" s="64"/>
      <c r="T7" s="64"/>
      <c r="U7" s="64"/>
      <c r="V7" s="64"/>
      <c r="W7" s="64"/>
      <c r="X7" s="64"/>
      <c r="Y7" s="64"/>
      <c r="Z7" s="64"/>
      <c r="AA7" s="64"/>
      <c r="AB7" s="64"/>
      <c r="AC7" s="64"/>
      <c r="AD7" s="64"/>
      <c r="AE7" s="64"/>
      <c r="AF7" s="64"/>
      <c r="AG7" s="64"/>
      <c r="AH7" s="64"/>
    </row>
    <row r="8" spans="1:34" ht="15.75">
      <c r="A8" s="820"/>
      <c r="B8" s="388"/>
      <c r="C8" s="37"/>
      <c r="D8" s="466"/>
      <c r="E8" s="50"/>
      <c r="F8" s="50"/>
      <c r="G8" s="38"/>
      <c r="H8" s="38"/>
      <c r="I8" s="38"/>
      <c r="J8" s="37"/>
      <c r="K8" s="64"/>
      <c r="L8" s="64"/>
      <c r="M8" s="64"/>
      <c r="N8" s="64"/>
      <c r="O8" s="64"/>
      <c r="P8" s="64"/>
      <c r="Q8" s="64"/>
      <c r="R8" s="64"/>
      <c r="S8" s="64"/>
      <c r="T8" s="64"/>
      <c r="U8" s="64"/>
      <c r="V8" s="64"/>
      <c r="W8" s="64"/>
      <c r="X8" s="64"/>
      <c r="Y8" s="64"/>
      <c r="Z8" s="64"/>
      <c r="AA8" s="64"/>
      <c r="AB8" s="64"/>
      <c r="AC8" s="64"/>
      <c r="AD8" s="64"/>
      <c r="AE8" s="64"/>
      <c r="AF8" s="64"/>
      <c r="AG8" s="64"/>
      <c r="AH8" s="64"/>
    </row>
    <row r="9" spans="1:34" ht="15.75">
      <c r="A9" s="820"/>
      <c r="B9" s="388"/>
      <c r="C9" s="37"/>
      <c r="D9" s="466"/>
      <c r="E9" s="50"/>
      <c r="F9" s="50"/>
      <c r="G9" s="38"/>
      <c r="H9" s="38"/>
      <c r="I9" s="38"/>
      <c r="J9" s="37"/>
      <c r="K9" s="64"/>
      <c r="L9" s="64"/>
      <c r="M9" s="64"/>
      <c r="N9" s="64"/>
      <c r="O9" s="64"/>
      <c r="P9" s="64"/>
      <c r="Q9" s="64"/>
      <c r="R9" s="64"/>
      <c r="S9" s="64"/>
      <c r="T9" s="64"/>
      <c r="U9" s="64"/>
      <c r="V9" s="64"/>
      <c r="W9" s="64"/>
      <c r="X9" s="64"/>
      <c r="Y9" s="64"/>
      <c r="Z9" s="64"/>
      <c r="AA9" s="64"/>
      <c r="AB9" s="64"/>
      <c r="AC9" s="64"/>
      <c r="AD9" s="64"/>
      <c r="AE9" s="64"/>
      <c r="AF9" s="64"/>
      <c r="AG9" s="64"/>
      <c r="AH9" s="64"/>
    </row>
    <row r="10" spans="1:34" ht="15.75">
      <c r="B10" s="361"/>
      <c r="C10" s="39" t="s">
        <v>49</v>
      </c>
      <c r="D10" s="39"/>
      <c r="E10" s="39"/>
      <c r="F10" s="50"/>
      <c r="G10" s="36">
        <f>SUM(G6:G9)</f>
        <v>0</v>
      </c>
      <c r="H10" s="36">
        <f>SUM(H6:H9)</f>
        <v>0</v>
      </c>
      <c r="I10" s="36">
        <f>SUM(I6:I9)</f>
        <v>0</v>
      </c>
      <c r="J10" s="34"/>
    </row>
    <row r="11" spans="1:34" ht="17.25">
      <c r="B11" s="360"/>
      <c r="C11" s="51" t="s">
        <v>699</v>
      </c>
      <c r="D11" s="51"/>
      <c r="E11" s="51"/>
      <c r="F11" s="51"/>
      <c r="G11" s="42">
        <f>ROUND(G10,-3)</f>
        <v>0</v>
      </c>
      <c r="H11" s="42">
        <f>ROUND(H10,-3)</f>
        <v>0</v>
      </c>
      <c r="I11" s="42">
        <f>ROUND(I10,-3)</f>
        <v>0</v>
      </c>
      <c r="J11" s="857"/>
    </row>
    <row r="12" spans="1:34">
      <c r="B12" s="382"/>
    </row>
    <row r="13" spans="1:34">
      <c r="B13" s="382"/>
    </row>
  </sheetData>
  <phoneticPr fontId="88" type="noConversion"/>
  <printOptions horizontalCentered="1"/>
  <pageMargins left="0.75" right="0.25" top="0.5" bottom="0.5" header="0.25" footer="0.25"/>
  <pageSetup paperSize="9" orientation="landscape" blackAndWhite="1" horizontalDpi="300" verticalDpi="300" r:id="rId1"/>
  <headerFooter>
    <oddFooter>&amp;C&amp;P</oddFooter>
  </headerFooter>
  <ignoredErrors>
    <ignoredError sqref="B2" unlockedFormula="1"/>
  </ignoredErrors>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00B0F0"/>
  </sheetPr>
  <dimension ref="A1:G14"/>
  <sheetViews>
    <sheetView zoomScaleSheetLayoutView="100" workbookViewId="0">
      <selection activeCell="M35" sqref="M35"/>
    </sheetView>
  </sheetViews>
  <sheetFormatPr defaultColWidth="9.140625" defaultRowHeight="15"/>
  <cols>
    <col min="1" max="1" width="5.140625" style="382" customWidth="1"/>
    <col min="2" max="2" width="5.5703125" style="155" customWidth="1"/>
    <col min="3" max="3" width="26.42578125" style="155" customWidth="1"/>
    <col min="4" max="4" width="28.140625" style="155" customWidth="1"/>
    <col min="5" max="5" width="16" style="155" customWidth="1"/>
    <col min="6" max="6" width="8.5703125" style="264" customWidth="1"/>
    <col min="7" max="7" width="7" style="264" customWidth="1"/>
    <col min="8" max="16384" width="9.140625" style="155"/>
  </cols>
  <sheetData>
    <row r="1" spans="1:7" s="266" customFormat="1" ht="22.5">
      <c r="A1" s="381"/>
      <c r="B1" s="451" t="s">
        <v>481</v>
      </c>
      <c r="C1" s="296"/>
      <c r="D1" s="297"/>
      <c r="E1" s="297"/>
      <c r="F1" s="298"/>
      <c r="G1" s="298"/>
    </row>
    <row r="2" spans="1:7" ht="22.15" customHeight="1">
      <c r="B2" s="287"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288"/>
      <c r="D2" s="288"/>
      <c r="E2" s="288"/>
      <c r="F2" s="288"/>
      <c r="G2" s="289"/>
    </row>
    <row r="3" spans="1:7" ht="22.15" customHeight="1">
      <c r="B3" s="287" t="str">
        <f>'Bia-Dutoan'!D43&amp;'Bia-Dutoan'!E43</f>
        <v>CÔNG TRÌNH: NHÀ 01 TẦNG, TƯỜNG CHỊU LỰC 110MM, MÁI LỢP FIBRÔXIMĂNG, KHÔNG CÓ KHU VỆ SINH KHÉP KÍN</v>
      </c>
      <c r="C3" s="288"/>
      <c r="D3" s="288"/>
      <c r="E3" s="288"/>
      <c r="F3" s="288"/>
      <c r="G3" s="289"/>
    </row>
    <row r="4" spans="1:7" s="349" customFormat="1">
      <c r="A4" s="385"/>
      <c r="B4" s="427"/>
      <c r="F4" s="350"/>
      <c r="G4" s="350"/>
    </row>
    <row r="5" spans="1:7" s="44" customFormat="1" ht="31.5">
      <c r="A5" s="368"/>
      <c r="B5" s="1047" t="s">
        <v>196</v>
      </c>
      <c r="C5" s="1047" t="s">
        <v>92</v>
      </c>
      <c r="D5" s="1047" t="s">
        <v>558</v>
      </c>
      <c r="E5" s="1047" t="s">
        <v>559</v>
      </c>
      <c r="F5" s="1047" t="s">
        <v>94</v>
      </c>
      <c r="G5" s="1047" t="s">
        <v>127</v>
      </c>
    </row>
    <row r="6" spans="1:7" s="17" customFormat="1" ht="15.75">
      <c r="A6" s="370"/>
      <c r="B6" s="374">
        <v>1</v>
      </c>
      <c r="C6" s="375" t="s">
        <v>337</v>
      </c>
      <c r="D6" s="635" t="s">
        <v>338</v>
      </c>
      <c r="E6" s="376">
        <f>'Cp chuyen gia'!H10</f>
        <v>0</v>
      </c>
      <c r="F6" s="374" t="s">
        <v>346</v>
      </c>
      <c r="G6" s="377"/>
    </row>
    <row r="7" spans="1:7" s="17" customFormat="1" ht="15.75">
      <c r="A7" s="370"/>
      <c r="B7" s="35">
        <v>2</v>
      </c>
      <c r="C7" s="351" t="s">
        <v>339</v>
      </c>
      <c r="D7" s="636" t="str">
        <f>G7&amp;"%*Ccg"</f>
        <v>55%*Ccg</v>
      </c>
      <c r="E7" s="38">
        <f>E6*G7%</f>
        <v>0</v>
      </c>
      <c r="F7" s="35" t="s">
        <v>347</v>
      </c>
      <c r="G7" s="378">
        <f>IF(E6/10^9&lt;1,55,IF(E6/10^9&gt;=5,45,50))</f>
        <v>55</v>
      </c>
    </row>
    <row r="8" spans="1:7" s="17" customFormat="1" ht="15.75">
      <c r="A8" s="370"/>
      <c r="B8" s="35">
        <v>3</v>
      </c>
      <c r="C8" s="351" t="s">
        <v>150</v>
      </c>
      <c r="D8" s="636" t="s">
        <v>338</v>
      </c>
      <c r="E8" s="38">
        <f>'CPK TV'!G24</f>
        <v>89000000</v>
      </c>
      <c r="F8" s="35" t="s">
        <v>348</v>
      </c>
      <c r="G8" s="378"/>
    </row>
    <row r="9" spans="1:7" s="17" customFormat="1" ht="15.75">
      <c r="A9" s="370"/>
      <c r="B9" s="35">
        <v>4</v>
      </c>
      <c r="C9" s="351" t="s">
        <v>574</v>
      </c>
      <c r="D9" s="636" t="str">
        <f>G9&amp;"%*(Ccg+Cql)"</f>
        <v>6%*(Ccg+Cql)</v>
      </c>
      <c r="E9" s="38">
        <f>SUM(E6:E7)*G9%</f>
        <v>0</v>
      </c>
      <c r="F9" s="35" t="s">
        <v>349</v>
      </c>
      <c r="G9" s="378">
        <v>6</v>
      </c>
    </row>
    <row r="10" spans="1:7" s="17" customFormat="1" ht="15.75">
      <c r="A10" s="370"/>
      <c r="B10" s="35">
        <v>5</v>
      </c>
      <c r="C10" s="351" t="s">
        <v>575</v>
      </c>
      <c r="D10" s="636" t="str">
        <f>G10&amp;"%*(Ccg+Cql+Ck+TN)"</f>
        <v>10%*(Ccg+Cql+Ck+TN)</v>
      </c>
      <c r="E10" s="38">
        <f>G10%*(E6+E7+E8+E9)</f>
        <v>8900000</v>
      </c>
      <c r="F10" s="35" t="s">
        <v>31</v>
      </c>
      <c r="G10" s="378">
        <v>10</v>
      </c>
    </row>
    <row r="11" spans="1:7" s="17" customFormat="1" ht="15.75">
      <c r="A11" s="370"/>
      <c r="B11" s="35">
        <v>6</v>
      </c>
      <c r="C11" s="351" t="s">
        <v>168</v>
      </c>
      <c r="D11" s="636" t="str">
        <f>G11&amp;"%*(Ccg+Cql+Ck+TN+VAT)"</f>
        <v>5%*(Ccg+Cql+Ck+TN+VAT)</v>
      </c>
      <c r="E11" s="38">
        <f>G11%*(SUM(E6:E10))</f>
        <v>4895000</v>
      </c>
      <c r="F11" s="35" t="s">
        <v>351</v>
      </c>
      <c r="G11" s="378">
        <v>5</v>
      </c>
    </row>
    <row r="12" spans="1:7" s="53" customFormat="1" ht="15.75">
      <c r="A12" s="369"/>
      <c r="B12" s="295"/>
      <c r="C12" s="637" t="s">
        <v>232</v>
      </c>
      <c r="D12" s="471" t="s">
        <v>534</v>
      </c>
      <c r="E12" s="379">
        <f>SUM(E6:E11)</f>
        <v>102795000</v>
      </c>
      <c r="F12" s="295" t="s">
        <v>350</v>
      </c>
      <c r="G12" s="380"/>
    </row>
    <row r="13" spans="1:7" s="67" customFormat="1" ht="15.75">
      <c r="A13" s="384"/>
      <c r="B13" s="633"/>
      <c r="C13" s="633" t="s">
        <v>340</v>
      </c>
      <c r="D13" s="633"/>
      <c r="E13" s="634">
        <f>ROUND(E12,-3)</f>
        <v>102795000</v>
      </c>
      <c r="F13" s="633"/>
      <c r="G13" s="633"/>
    </row>
    <row r="14" spans="1:7" s="349" customFormat="1">
      <c r="A14" s="383"/>
      <c r="F14" s="350"/>
      <c r="G14" s="350"/>
    </row>
  </sheetData>
  <dataValidations count="1">
    <dataValidation allowBlank="1" showInputMessage="1" showErrorMessage="1" prompt="Chi phí quản lý xác định bằng khoảng từ 45% đến 55% của chi phí chuyên gia" sqref="G7"/>
  </dataValidations>
  <printOptions horizontalCentered="1"/>
  <pageMargins left="0.75" right="0.25" top="0.5" bottom="0.5" header="0.25" footer="0.25"/>
  <pageSetup paperSize="9" orientation="portrait" blackAndWhite="1" r:id="rId1"/>
  <headerFooter>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946" r:id="rId4" name="Drop Down 2">
              <controlPr defaultSize="0" autoLine="0" autoPict="0" macro="[0]!ShowhideBCPTem">
                <anchor moveWithCells="1">
                  <from>
                    <xdr:col>8</xdr:col>
                    <xdr:colOff>0</xdr:colOff>
                    <xdr:row>0</xdr:row>
                    <xdr:rowOff>9525</xdr:rowOff>
                  </from>
                  <to>
                    <xdr:col>10</xdr:col>
                    <xdr:colOff>304800</xdr:colOff>
                    <xdr:row>1</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rgb="FF00B0F0"/>
  </sheetPr>
  <dimension ref="A1:H11"/>
  <sheetViews>
    <sheetView zoomScaleSheetLayoutView="100" workbookViewId="0">
      <selection activeCell="M35" sqref="M35"/>
    </sheetView>
  </sheetViews>
  <sheetFormatPr defaultColWidth="9.140625" defaultRowHeight="15.75"/>
  <cols>
    <col min="1" max="1" width="6" style="365" customWidth="1"/>
    <col min="2" max="3" width="7" style="17" customWidth="1"/>
    <col min="4" max="4" width="27.140625" style="17" customWidth="1"/>
    <col min="5" max="5" width="34.140625" style="22" customWidth="1"/>
    <col min="6" max="6" width="11.42578125" style="17" customWidth="1"/>
    <col min="7" max="7" width="12.85546875" style="271" customWidth="1"/>
    <col min="8" max="8" width="14.42578125" style="17" customWidth="1"/>
    <col min="9" max="9" width="12" style="4" customWidth="1"/>
    <col min="10" max="16384" width="9.140625" style="4"/>
  </cols>
  <sheetData>
    <row r="1" spans="1:8" ht="23.25">
      <c r="B1" s="449" t="str">
        <f>"CHI TIẾT CHI PHÍ CHUYÊN GIA "</f>
        <v xml:space="preserve">CHI TIẾT CHI PHÍ CHUYÊN GIA </v>
      </c>
      <c r="C1" s="272"/>
      <c r="D1" s="272"/>
      <c r="E1" s="281"/>
      <c r="F1" s="272"/>
      <c r="G1" s="272"/>
      <c r="H1" s="272"/>
    </row>
    <row r="2" spans="1:8" ht="22.15" customHeight="1">
      <c r="B2" s="287" t="str">
        <f>'DT man-month'!B2</f>
        <v>DỰ ÁN: ĐIỀU CHỈNH, BỔ SUNG, ĐƠN GIÁ XÂY DỰNG CỦA MỘT SỐ LOẠI CÔNG TRÌNH ĐỂ XÁC ĐỊNH GIÁ TRỊ BỒI
THƯỜNG ĐỐI VỚI NHÀ Ở, CÔNG TRÌNH PHẢI THÁO DỠ KHI NHÀ NƯỚC THU HỒI ĐẤT TRÊN ĐỊA BÀN TỈNH SƠN LA</v>
      </c>
      <c r="C2" s="272"/>
      <c r="D2" s="272"/>
      <c r="E2" s="281"/>
      <c r="F2" s="272"/>
      <c r="G2" s="272"/>
      <c r="H2" s="272"/>
    </row>
    <row r="3" spans="1:8" ht="22.15" customHeight="1">
      <c r="B3" s="287" t="str">
        <f>'DT man-month'!B3</f>
        <v>CÔNG TRÌNH: NHÀ 01 TẦNG, TƯỜNG CHỊU LỰC 110MM, MÁI LỢP FIBRÔXIMĂNG, KHÔNG CÓ KHU VỆ SINH KHÉP KÍN</v>
      </c>
      <c r="C3" s="272"/>
      <c r="D3" s="272"/>
      <c r="E3" s="94"/>
      <c r="F3" s="272"/>
      <c r="G3" s="272"/>
      <c r="H3" s="272"/>
    </row>
    <row r="4" spans="1:8" ht="15.95" customHeight="1">
      <c r="A4" s="373"/>
      <c r="B4" s="318"/>
      <c r="C4" s="25"/>
      <c r="D4" s="25"/>
      <c r="E4" s="97"/>
      <c r="F4" s="25"/>
      <c r="G4" s="269"/>
      <c r="H4" s="25"/>
    </row>
    <row r="5" spans="1:8" s="270" customFormat="1" ht="38.25">
      <c r="A5" s="372"/>
      <c r="B5" s="632" t="s">
        <v>196</v>
      </c>
      <c r="C5" s="632" t="s">
        <v>560</v>
      </c>
      <c r="D5" s="632" t="s">
        <v>561</v>
      </c>
      <c r="E5" s="632" t="s">
        <v>562</v>
      </c>
      <c r="F5" s="632" t="s">
        <v>563</v>
      </c>
      <c r="G5" s="632" t="s">
        <v>564</v>
      </c>
      <c r="H5" s="632" t="s">
        <v>565</v>
      </c>
    </row>
    <row r="6" spans="1:8" ht="18" customHeight="1">
      <c r="B6" s="374"/>
      <c r="C6" s="374"/>
      <c r="D6" s="995"/>
      <c r="E6" s="996"/>
      <c r="F6" s="374"/>
      <c r="G6" s="997"/>
      <c r="H6" s="998"/>
    </row>
    <row r="7" spans="1:8" ht="18" customHeight="1">
      <c r="B7" s="35"/>
      <c r="C7" s="35"/>
      <c r="D7" s="999"/>
      <c r="E7" s="1000"/>
      <c r="F7" s="35"/>
      <c r="G7" s="1001"/>
      <c r="H7" s="131"/>
    </row>
    <row r="8" spans="1:8" ht="18" customHeight="1">
      <c r="B8" s="35"/>
      <c r="C8" s="35"/>
      <c r="D8" s="999"/>
      <c r="E8" s="1000"/>
      <c r="F8" s="35"/>
      <c r="G8" s="1001"/>
      <c r="H8" s="131"/>
    </row>
    <row r="9" spans="1:8" ht="18" customHeight="1">
      <c r="B9" s="295"/>
      <c r="C9" s="295"/>
      <c r="D9" s="392"/>
      <c r="E9" s="393"/>
      <c r="F9" s="295"/>
      <c r="G9" s="394"/>
      <c r="H9" s="202"/>
    </row>
    <row r="10" spans="1:8" ht="18" customHeight="1">
      <c r="B10" s="638" t="s">
        <v>118</v>
      </c>
      <c r="C10" s="638"/>
      <c r="D10" s="638"/>
      <c r="E10" s="638"/>
      <c r="F10" s="638"/>
      <c r="G10" s="633"/>
      <c r="H10" s="634">
        <f>SUM(H6:H6)</f>
        <v>0</v>
      </c>
    </row>
    <row r="11" spans="1:8"/>
  </sheetData>
  <dataValidations xWindow="293" yWindow="403" count="1">
    <dataValidation allowBlank="1" showInputMessage="1" showErrorMessage="1" promptTitle="Chú ý:" prompt="Kích chuột phải để lựa chọn chuyên gia" sqref="D6"/>
  </dataValidations>
  <printOptions horizontalCentered="1"/>
  <pageMargins left="0.75" right="0.25" top="0.5" bottom="0.5" header="0.25" footer="0.25"/>
  <pageSetup paperSize="9" orientation="landscape" blackAndWhite="1" r:id="rId1"/>
  <headerFooter>
    <oddFooter>&amp;C&amp;P</odd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00B0F0"/>
  </sheetPr>
  <dimension ref="A1:Q18"/>
  <sheetViews>
    <sheetView zoomScaleSheetLayoutView="100" workbookViewId="0">
      <selection activeCell="M35" sqref="M35"/>
    </sheetView>
  </sheetViews>
  <sheetFormatPr defaultColWidth="9.140625" defaultRowHeight="15.75"/>
  <cols>
    <col min="1" max="1" width="5.42578125" style="370" customWidth="1"/>
    <col min="2" max="2" width="5.42578125" style="25" customWidth="1"/>
    <col min="3" max="3" width="6.42578125" style="25" customWidth="1"/>
    <col min="4" max="4" width="18.5703125" style="17" customWidth="1"/>
    <col min="5" max="5" width="13.85546875" style="17" customWidth="1"/>
    <col min="6" max="6" width="8.140625" style="25" customWidth="1"/>
    <col min="7" max="7" width="11.42578125" style="184" customWidth="1"/>
    <col min="8" max="8" width="10.42578125" style="17" customWidth="1"/>
    <col min="9" max="9" width="8.5703125" style="25" customWidth="1"/>
    <col min="10" max="10" width="9.42578125" style="184" customWidth="1"/>
    <col min="11" max="11" width="13.5703125" style="184" customWidth="1"/>
    <col min="12" max="13" width="4.5703125" style="17" customWidth="1"/>
    <col min="14" max="14" width="5.5703125" style="17" customWidth="1"/>
    <col min="15" max="15" width="31.140625" style="17" customWidth="1"/>
    <col min="16" max="17" width="12.5703125" style="17" customWidth="1"/>
    <col min="18" max="16384" width="9.140625" style="17"/>
  </cols>
  <sheetData>
    <row r="1" spans="1:17" s="53" customFormat="1" ht="22.5">
      <c r="A1" s="369"/>
      <c r="B1" s="2502" t="s">
        <v>361</v>
      </c>
      <c r="C1" s="2502"/>
      <c r="D1" s="2502"/>
      <c r="E1" s="2502"/>
      <c r="F1" s="2502"/>
      <c r="G1" s="2502"/>
      <c r="H1" s="2502"/>
      <c r="I1" s="2502"/>
      <c r="J1" s="2502"/>
      <c r="K1" s="2502"/>
    </row>
    <row r="2" spans="1:17" s="4" customFormat="1" ht="22.15" customHeight="1">
      <c r="A2" s="365"/>
      <c r="B2" s="287" t="str">
        <f>'DT man-month'!B2</f>
        <v>DỰ ÁN: ĐIỀU CHỈNH, BỔ SUNG, ĐƠN GIÁ XÂY DỰNG CỦA MỘT SỐ LOẠI CÔNG TRÌNH ĐỂ XÁC ĐỊNH GIÁ TRỊ BỒI
THƯỜNG ĐỐI VỚI NHÀ Ở, CÔNG TRÌNH PHẢI THÁO DỠ KHI NHÀ NƯỚC THU HỒI ĐẤT TRÊN ĐỊA BÀN TỈNH SƠN LA</v>
      </c>
      <c r="C2" s="287"/>
      <c r="D2" s="287"/>
      <c r="E2" s="287"/>
      <c r="F2" s="287"/>
      <c r="G2" s="287"/>
      <c r="H2" s="287"/>
      <c r="I2" s="287"/>
      <c r="J2" s="287"/>
      <c r="K2" s="287"/>
      <c r="O2" s="53" t="s">
        <v>363</v>
      </c>
      <c r="P2" s="639">
        <v>1150000</v>
      </c>
      <c r="Q2" s="4" t="s">
        <v>576</v>
      </c>
    </row>
    <row r="3" spans="1:17" s="4" customFormat="1" ht="22.15" customHeight="1">
      <c r="A3" s="365"/>
      <c r="B3" s="287" t="str">
        <f>'DT man-month'!B3</f>
        <v>CÔNG TRÌNH: NHÀ 01 TẦNG, TƯỜNG CHỊU LỰC 110MM, MÁI LỢP FIBRÔXIMĂNG, KHÔNG CÓ KHU VỆ SINH KHÉP KÍN</v>
      </c>
      <c r="C3" s="272"/>
      <c r="D3" s="272"/>
      <c r="E3" s="94"/>
      <c r="F3" s="272"/>
      <c r="G3" s="272"/>
      <c r="H3" s="272"/>
      <c r="I3" s="101"/>
      <c r="J3" s="101"/>
      <c r="K3" s="101"/>
      <c r="O3" s="53" t="s">
        <v>367</v>
      </c>
      <c r="P3" s="639">
        <v>22</v>
      </c>
      <c r="Q3" s="4" t="s">
        <v>577</v>
      </c>
    </row>
    <row r="4" spans="1:17" ht="15.95" customHeight="1">
      <c r="A4" s="369"/>
      <c r="K4" s="32" t="s">
        <v>359</v>
      </c>
    </row>
    <row r="5" spans="1:17" s="43" customFormat="1" ht="38.25">
      <c r="A5" s="371"/>
      <c r="B5" s="632" t="s">
        <v>196</v>
      </c>
      <c r="C5" s="632" t="s">
        <v>560</v>
      </c>
      <c r="D5" s="632" t="s">
        <v>566</v>
      </c>
      <c r="E5" s="632" t="s">
        <v>567</v>
      </c>
      <c r="F5" s="632" t="s">
        <v>568</v>
      </c>
      <c r="G5" s="632" t="s">
        <v>569</v>
      </c>
      <c r="H5" s="632" t="s">
        <v>570</v>
      </c>
      <c r="I5" s="632" t="s">
        <v>571</v>
      </c>
      <c r="J5" s="632" t="s">
        <v>572</v>
      </c>
      <c r="K5" s="632" t="s">
        <v>573</v>
      </c>
      <c r="N5" s="273" t="s">
        <v>196</v>
      </c>
      <c r="O5" s="273" t="s">
        <v>360</v>
      </c>
      <c r="P5" s="273" t="s">
        <v>362</v>
      </c>
      <c r="Q5" s="273" t="s">
        <v>345</v>
      </c>
    </row>
    <row r="6" spans="1:17">
      <c r="B6" s="374">
        <v>1</v>
      </c>
      <c r="C6" s="374" t="s">
        <v>364</v>
      </c>
      <c r="D6" s="375" t="s">
        <v>341</v>
      </c>
      <c r="E6" s="375" t="s">
        <v>342</v>
      </c>
      <c r="F6" s="573">
        <v>5.42</v>
      </c>
      <c r="G6" s="574">
        <f>F6*$P$2/$P$3</f>
        <v>283318.18181818182</v>
      </c>
      <c r="H6" s="574">
        <f>G6*$P$11</f>
        <v>29748.409090909092</v>
      </c>
      <c r="I6" s="575">
        <v>0.9</v>
      </c>
      <c r="J6" s="574">
        <f>I6*$P$2/$P$3</f>
        <v>47045.454545454544</v>
      </c>
      <c r="K6" s="376">
        <f>G6+H6+J6</f>
        <v>360112.04545454547</v>
      </c>
      <c r="N6" s="276">
        <v>1</v>
      </c>
      <c r="O6" s="277" t="s">
        <v>353</v>
      </c>
      <c r="P6" s="278">
        <v>0</v>
      </c>
      <c r="Q6" s="277"/>
    </row>
    <row r="7" spans="1:17">
      <c r="B7" s="35">
        <v>2</v>
      </c>
      <c r="C7" s="35" t="s">
        <v>365</v>
      </c>
      <c r="D7" s="351" t="s">
        <v>356</v>
      </c>
      <c r="E7" s="351" t="s">
        <v>342</v>
      </c>
      <c r="F7" s="576">
        <v>3.33</v>
      </c>
      <c r="G7" s="577">
        <f>F7*$P$2/$P$3</f>
        <v>174068.18181818182</v>
      </c>
      <c r="H7" s="577">
        <f>G7*$P$11</f>
        <v>18277.159090909092</v>
      </c>
      <c r="I7" s="578"/>
      <c r="J7" s="577"/>
      <c r="K7" s="38">
        <f>G7+H7+J7</f>
        <v>192345.34090909091</v>
      </c>
      <c r="N7" s="276">
        <v>2</v>
      </c>
      <c r="O7" s="277" t="s">
        <v>354</v>
      </c>
      <c r="P7" s="278">
        <v>0.08</v>
      </c>
      <c r="Q7" s="277"/>
    </row>
    <row r="8" spans="1:17">
      <c r="B8" s="35">
        <v>3</v>
      </c>
      <c r="C8" s="35" t="s">
        <v>366</v>
      </c>
      <c r="D8" s="277" t="s">
        <v>357</v>
      </c>
      <c r="E8" s="351" t="s">
        <v>342</v>
      </c>
      <c r="F8" s="576">
        <v>4.9800000000000004</v>
      </c>
      <c r="G8" s="577">
        <f>F8*$P$2/$P$3</f>
        <v>260318.18181818185</v>
      </c>
      <c r="H8" s="577">
        <f>G8*$P$11</f>
        <v>27333.409090909092</v>
      </c>
      <c r="I8" s="578">
        <v>0.65</v>
      </c>
      <c r="J8" s="577">
        <f>I8*$P$2/$P$3</f>
        <v>33977.272727272728</v>
      </c>
      <c r="K8" s="38">
        <f>G8+H8+J8</f>
        <v>321628.86363636365</v>
      </c>
      <c r="N8" s="276">
        <v>3</v>
      </c>
      <c r="O8" s="277" t="s">
        <v>355</v>
      </c>
      <c r="P8" s="735">
        <v>1.4999999999999999E-2</v>
      </c>
      <c r="Q8" s="277"/>
    </row>
    <row r="9" spans="1:17">
      <c r="B9" s="295"/>
      <c r="C9" s="295"/>
      <c r="D9" s="579"/>
      <c r="E9" s="579"/>
      <c r="F9" s="295"/>
      <c r="G9" s="379"/>
      <c r="H9" s="379"/>
      <c r="I9" s="314"/>
      <c r="J9" s="379"/>
      <c r="K9" s="379"/>
      <c r="N9" s="290">
        <v>4</v>
      </c>
      <c r="O9" s="280" t="s">
        <v>352</v>
      </c>
      <c r="P9" s="291">
        <v>0.01</v>
      </c>
      <c r="Q9" s="292"/>
    </row>
    <row r="10" spans="1:17">
      <c r="N10" s="293"/>
      <c r="O10" s="279"/>
      <c r="P10" s="294"/>
      <c r="Q10" s="279"/>
    </row>
    <row r="11" spans="1:17">
      <c r="N11" s="274"/>
      <c r="O11" s="275" t="s">
        <v>232</v>
      </c>
      <c r="P11" s="736">
        <f>SUM(P6:P9)</f>
        <v>0.105</v>
      </c>
      <c r="Q11" s="275"/>
    </row>
    <row r="16" spans="1:17">
      <c r="L16" s="184"/>
    </row>
    <row r="17" spans="12:12">
      <c r="L17" s="184"/>
    </row>
    <row r="18" spans="12:12">
      <c r="L18" s="184"/>
    </row>
  </sheetData>
  <mergeCells count="1">
    <mergeCell ref="B1:K1"/>
  </mergeCells>
  <dataValidations xWindow="190" yWindow="600" count="2">
    <dataValidation allowBlank="1" showInputMessage="1" showErrorMessage="1" prompt="Khối công chức, viên chức, cán bộ thuộc các doanh nghiệp nhà nước tính theo Nghị định về mức lương cơ sở của Chính phủ. Doanh nghiệp tư nhân tính theo quy định của doanh nghiệp." sqref="P2:P3"/>
    <dataValidation allowBlank="1" showInputMessage="1" showErrorMessage="1" promptTitle="Nhập chuyên gia mới" prompt="Nhập Họ tên và các thông tin cho chuyên gia mới" sqref="D9"/>
  </dataValidations>
  <printOptions horizontalCentered="1"/>
  <pageMargins left="0.75" right="0.25" top="0.5" bottom="0.5" header="0.25" footer="0.25"/>
  <pageSetup paperSize="9" orientation="landscape" blackAndWhite="1" r:id="rId1"/>
  <headerFooter>
    <oddFooter>&amp;C&amp;P</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00B0F0"/>
  </sheetPr>
  <dimension ref="A1:H26"/>
  <sheetViews>
    <sheetView zoomScaleSheetLayoutView="90" workbookViewId="0">
      <selection activeCell="M35" sqref="M35"/>
    </sheetView>
  </sheetViews>
  <sheetFormatPr defaultColWidth="9.140625" defaultRowHeight="15.75"/>
  <cols>
    <col min="1" max="1" width="5.5703125" style="367" customWidth="1"/>
    <col min="2" max="2" width="5.140625" style="283" customWidth="1"/>
    <col min="3" max="3" width="35.42578125" style="267" customWidth="1"/>
    <col min="4" max="4" width="12.5703125" style="282" customWidth="1"/>
    <col min="5" max="5" width="14.5703125" style="282" customWidth="1"/>
    <col min="6" max="6" width="17.140625" style="282" customWidth="1"/>
    <col min="7" max="7" width="18" style="358" customWidth="1"/>
    <col min="8" max="16384" width="9.140625" style="22"/>
  </cols>
  <sheetData>
    <row r="1" spans="1:8" s="357" customFormat="1" ht="22.5">
      <c r="A1" s="364"/>
      <c r="B1" s="451" t="s">
        <v>368</v>
      </c>
      <c r="C1" s="12"/>
      <c r="D1" s="12"/>
      <c r="E1" s="12"/>
      <c r="F1" s="12"/>
      <c r="G1" s="12"/>
    </row>
    <row r="2" spans="1:8" s="4" customFormat="1" ht="22.15" customHeight="1">
      <c r="A2" s="365"/>
      <c r="B2" s="287" t="str">
        <f>'DT man-month'!B2</f>
        <v>DỰ ÁN: ĐIỀU CHỈNH, BỔ SUNG, ĐƠN GIÁ XÂY DỰNG CỦA MỘT SỐ LOẠI CÔNG TRÌNH ĐỂ XÁC ĐỊNH GIÁ TRỊ BỒI
THƯỜNG ĐỐI VỚI NHÀ Ở, CÔNG TRÌNH PHẢI THÁO DỠ KHI NHÀ NƯỚC THU HỒI ĐẤT TRÊN ĐỊA BÀN TỈNH SƠN LA</v>
      </c>
      <c r="C2" s="101"/>
      <c r="D2" s="101"/>
      <c r="E2" s="101"/>
      <c r="F2" s="101"/>
      <c r="G2" s="92"/>
    </row>
    <row r="3" spans="1:8" s="11" customFormat="1" ht="22.15" customHeight="1">
      <c r="A3" s="366"/>
      <c r="B3" s="287" t="str">
        <f>'DT man-month'!B3</f>
        <v>CÔNG TRÌNH: NHÀ 01 TẦNG, TƯỜNG CHỊU LỰC 110MM, MÁI LỢP FIBRÔXIMĂNG, KHÔNG CÓ KHU VỆ SINH KHÉP KÍN</v>
      </c>
      <c r="C3" s="6"/>
      <c r="D3" s="6"/>
      <c r="E3" s="6"/>
      <c r="F3" s="6"/>
      <c r="G3" s="94"/>
    </row>
    <row r="4" spans="1:8">
      <c r="A4" s="364"/>
      <c r="B4" s="318"/>
      <c r="C4" s="22"/>
      <c r="D4" s="355"/>
      <c r="E4" s="355"/>
      <c r="F4" s="355"/>
      <c r="G4" s="356"/>
    </row>
    <row r="5" spans="1:8" s="44" customFormat="1" ht="31.5">
      <c r="A5" s="368"/>
      <c r="B5" s="1047" t="s">
        <v>196</v>
      </c>
      <c r="C5" s="1047" t="s">
        <v>92</v>
      </c>
      <c r="D5" s="1070" t="s">
        <v>578</v>
      </c>
      <c r="E5" s="1070"/>
      <c r="F5" s="1070"/>
      <c r="G5" s="1047" t="s">
        <v>579</v>
      </c>
    </row>
    <row r="6" spans="1:8">
      <c r="B6" s="35">
        <v>1</v>
      </c>
      <c r="C6" s="351" t="s">
        <v>432</v>
      </c>
      <c r="D6" s="38"/>
      <c r="E6" s="38" t="s">
        <v>147</v>
      </c>
      <c r="F6" s="38"/>
      <c r="G6" s="36"/>
      <c r="H6" s="17"/>
    </row>
    <row r="7" spans="1:8">
      <c r="B7" s="35"/>
      <c r="C7" s="351" t="s">
        <v>433</v>
      </c>
      <c r="D7" s="1062">
        <v>60</v>
      </c>
      <c r="E7" s="1061">
        <v>10</v>
      </c>
      <c r="F7" s="1071">
        <v>45000</v>
      </c>
      <c r="G7" s="38">
        <f>PRODUCT(D7:F7)</f>
        <v>27000000</v>
      </c>
      <c r="H7" s="17"/>
    </row>
    <row r="8" spans="1:8">
      <c r="B8" s="35"/>
      <c r="C8" s="351" t="s">
        <v>434</v>
      </c>
      <c r="D8" s="1062">
        <v>20</v>
      </c>
      <c r="E8" s="1061">
        <v>2</v>
      </c>
      <c r="F8" s="1071">
        <v>35000</v>
      </c>
      <c r="G8" s="38">
        <f>PRODUCT(D8:F8)</f>
        <v>1400000</v>
      </c>
      <c r="H8" s="17"/>
    </row>
    <row r="9" spans="1:8">
      <c r="B9" s="35"/>
      <c r="C9" s="351" t="s">
        <v>435</v>
      </c>
      <c r="D9" s="1062">
        <v>20</v>
      </c>
      <c r="E9" s="1061">
        <v>1</v>
      </c>
      <c r="F9" s="1071">
        <v>50000</v>
      </c>
      <c r="G9" s="38">
        <f>PRODUCT(D9:F9)</f>
        <v>1000000</v>
      </c>
      <c r="H9" s="17"/>
    </row>
    <row r="10" spans="1:8">
      <c r="B10" s="35"/>
      <c r="C10" s="352" t="s">
        <v>436</v>
      </c>
      <c r="D10" s="1062">
        <v>30</v>
      </c>
      <c r="E10" s="1061">
        <v>4</v>
      </c>
      <c r="F10" s="1071">
        <v>40000</v>
      </c>
      <c r="G10" s="38">
        <f>PRODUCT(D10:F10)</f>
        <v>4800000</v>
      </c>
      <c r="H10" s="17"/>
    </row>
    <row r="11" spans="1:8">
      <c r="B11" s="50"/>
      <c r="C11" s="60" t="s">
        <v>437</v>
      </c>
      <c r="D11" s="1062">
        <v>30</v>
      </c>
      <c r="E11" s="1061">
        <v>2</v>
      </c>
      <c r="F11" s="1071">
        <v>30000</v>
      </c>
      <c r="G11" s="38">
        <f>PRODUCT(D11:F11)</f>
        <v>1800000</v>
      </c>
      <c r="H11" s="17"/>
    </row>
    <row r="12" spans="1:8">
      <c r="B12" s="50">
        <v>2</v>
      </c>
      <c r="C12" s="60" t="s">
        <v>438</v>
      </c>
      <c r="D12" s="353"/>
      <c r="E12" s="353"/>
      <c r="F12" s="897"/>
      <c r="G12" s="66"/>
      <c r="H12" s="17"/>
    </row>
    <row r="13" spans="1:8" ht="21.95" customHeight="1">
      <c r="B13" s="50"/>
      <c r="C13" s="268" t="s">
        <v>439</v>
      </c>
      <c r="D13" s="1062"/>
      <c r="E13" s="1072">
        <v>20</v>
      </c>
      <c r="F13" s="1073">
        <v>75000</v>
      </c>
      <c r="G13" s="38">
        <f>PRODUCT(D13:F13)</f>
        <v>1500000</v>
      </c>
      <c r="H13" s="17"/>
    </row>
    <row r="14" spans="1:8" ht="21.95" customHeight="1">
      <c r="B14" s="50"/>
      <c r="C14" s="268" t="s">
        <v>440</v>
      </c>
      <c r="D14" s="1062"/>
      <c r="E14" s="1075">
        <v>2</v>
      </c>
      <c r="F14" s="1074">
        <v>1500000</v>
      </c>
      <c r="G14" s="38">
        <f>PRODUCT(D14:F14)</f>
        <v>3000000</v>
      </c>
      <c r="H14" s="17"/>
    </row>
    <row r="15" spans="1:8" ht="33.75" customHeight="1">
      <c r="B15" s="50"/>
      <c r="C15" s="268" t="s">
        <v>441</v>
      </c>
      <c r="D15" s="1062"/>
      <c r="E15" s="1076">
        <v>2</v>
      </c>
      <c r="F15" s="1077">
        <v>1000000</v>
      </c>
      <c r="G15" s="38">
        <f>PRODUCT(D15:F15)</f>
        <v>2000000</v>
      </c>
      <c r="H15" s="17"/>
    </row>
    <row r="16" spans="1:8" ht="21.95" customHeight="1">
      <c r="B16" s="50">
        <v>3</v>
      </c>
      <c r="C16" s="354" t="s">
        <v>158</v>
      </c>
      <c r="D16" s="353"/>
      <c r="E16" s="353"/>
      <c r="F16" s="897"/>
      <c r="G16" s="66"/>
      <c r="H16" s="17"/>
    </row>
    <row r="17" spans="2:8" ht="21.95" customHeight="1">
      <c r="B17" s="50"/>
      <c r="C17" s="268" t="s">
        <v>343</v>
      </c>
      <c r="D17" s="1078">
        <v>5</v>
      </c>
      <c r="E17" s="1079">
        <v>2</v>
      </c>
      <c r="F17" s="1080">
        <v>1500000</v>
      </c>
      <c r="G17" s="38">
        <f>PRODUCT(D17:F17)</f>
        <v>15000000</v>
      </c>
      <c r="H17" s="17"/>
    </row>
    <row r="18" spans="2:8" ht="21.95" customHeight="1">
      <c r="B18" s="50">
        <v>4</v>
      </c>
      <c r="C18" s="60" t="s">
        <v>442</v>
      </c>
      <c r="D18" s="1062"/>
      <c r="E18" s="1081">
        <v>4</v>
      </c>
      <c r="F18" s="1083">
        <v>4000000</v>
      </c>
      <c r="G18" s="65">
        <f>4*4000000</f>
        <v>16000000</v>
      </c>
      <c r="H18" s="17"/>
    </row>
    <row r="19" spans="2:8" ht="21.95" customHeight="1">
      <c r="B19" s="50">
        <v>5</v>
      </c>
      <c r="C19" s="60" t="s">
        <v>444</v>
      </c>
      <c r="D19" s="65"/>
      <c r="E19" s="65"/>
      <c r="F19" s="897"/>
      <c r="G19" s="65"/>
      <c r="H19" s="17"/>
    </row>
    <row r="20" spans="2:8" ht="21.95" customHeight="1">
      <c r="B20" s="50"/>
      <c r="C20" s="268" t="s">
        <v>443</v>
      </c>
      <c r="D20" s="1062"/>
      <c r="E20" s="1082">
        <v>10</v>
      </c>
      <c r="F20" s="1084">
        <v>500000</v>
      </c>
      <c r="G20" s="65">
        <f>10*500000</f>
        <v>5000000</v>
      </c>
      <c r="H20" s="17"/>
    </row>
    <row r="21" spans="2:8" ht="21.95" customHeight="1">
      <c r="B21" s="50"/>
      <c r="C21" s="268" t="s">
        <v>344</v>
      </c>
      <c r="D21" s="1062"/>
      <c r="E21" s="1076">
        <v>3</v>
      </c>
      <c r="F21" s="1077">
        <v>500000</v>
      </c>
      <c r="G21" s="65">
        <f>3*500000</f>
        <v>1500000</v>
      </c>
      <c r="H21" s="17"/>
    </row>
    <row r="22" spans="2:8" ht="21.95" customHeight="1">
      <c r="B22" s="1067"/>
      <c r="C22" s="1068" t="s">
        <v>445</v>
      </c>
      <c r="D22" s="1062"/>
      <c r="E22" s="1076">
        <v>3</v>
      </c>
      <c r="F22" s="1077">
        <v>3000000</v>
      </c>
      <c r="G22" s="1069">
        <f>3*3000000</f>
        <v>9000000</v>
      </c>
      <c r="H22" s="17"/>
    </row>
    <row r="23" spans="2:8" ht="21.95" customHeight="1">
      <c r="B23" s="1063"/>
      <c r="C23" s="1064"/>
      <c r="D23" s="1065"/>
      <c r="E23" s="1065"/>
      <c r="F23" s="1065"/>
      <c r="G23" s="1066"/>
      <c r="H23" s="17"/>
    </row>
    <row r="24" spans="2:8" ht="21.95" customHeight="1">
      <c r="B24" s="640"/>
      <c r="C24" s="640" t="s">
        <v>232</v>
      </c>
      <c r="D24" s="640"/>
      <c r="E24" s="640"/>
      <c r="F24" s="640"/>
      <c r="G24" s="641">
        <f>SUM(G7:G22)</f>
        <v>89000000</v>
      </c>
    </row>
    <row r="25" spans="2:8"/>
    <row r="26" spans="2:8">
      <c r="B26" s="1085"/>
    </row>
  </sheetData>
  <printOptions horizontalCentered="1"/>
  <pageMargins left="0.75" right="0.25" top="0.5" bottom="0.5" header="0.25" footer="0.25"/>
  <pageSetup paperSize="9" orientation="portrait" blackAndWhite="1" r:id="rId1"/>
  <headerFooter>
    <oddFooter>&amp;C&amp;P</oddFooter>
  </headerFooter>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rgb="FF00B0F0"/>
    <pageSetUpPr fitToPage="1"/>
  </sheetPr>
  <dimension ref="A1:CZ13"/>
  <sheetViews>
    <sheetView workbookViewId="0">
      <selection activeCell="M35" sqref="M35"/>
    </sheetView>
  </sheetViews>
  <sheetFormatPr defaultColWidth="3.140625" defaultRowHeight="15.75"/>
  <cols>
    <col min="1" max="1" width="4.140625" style="423" customWidth="1"/>
    <col min="2" max="2" width="5.140625" style="397" customWidth="1"/>
    <col min="3" max="3" width="48.85546875" style="421" customWidth="1"/>
    <col min="4" max="4" width="12.42578125" style="396" hidden="1" customWidth="1"/>
    <col min="5" max="5" width="14.140625" style="398" customWidth="1"/>
    <col min="6" max="6" width="10.140625" style="396" hidden="1" customWidth="1"/>
    <col min="7" max="7" width="9.5703125" style="396" customWidth="1"/>
    <col min="8" max="8" width="11.85546875" style="396" customWidth="1"/>
    <col min="9" max="9" width="8.140625" style="396" hidden="1" customWidth="1"/>
    <col min="10" max="11" width="9.85546875" style="396" hidden="1" customWidth="1"/>
    <col min="12" max="12" width="12.5703125" style="399" hidden="1" customWidth="1"/>
    <col min="13" max="13" width="0.42578125" style="396" customWidth="1"/>
    <col min="14" max="33" width="2.5703125" style="588" customWidth="1"/>
    <col min="34" max="73" width="2.5703125" style="589" customWidth="1"/>
    <col min="74" max="103" width="0" style="397" hidden="1" customWidth="1"/>
    <col min="104" max="16384" width="3.140625" style="397"/>
  </cols>
  <sheetData>
    <row r="1" spans="1:104" ht="20.25" customHeight="1">
      <c r="B1" s="2502" t="s">
        <v>462</v>
      </c>
      <c r="C1" s="2502"/>
      <c r="D1" s="2502"/>
      <c r="E1" s="2502"/>
      <c r="F1" s="2502"/>
      <c r="G1" s="2502"/>
      <c r="H1" s="2502"/>
      <c r="I1" s="2502"/>
      <c r="J1" s="53"/>
      <c r="K1" s="53"/>
      <c r="L1" s="53"/>
    </row>
    <row r="2" spans="1:104" ht="22.15" customHeight="1">
      <c r="B2" s="1060" t="str">
        <f>'DT man-month'!B2</f>
        <v>DỰ ÁN: ĐIỀU CHỈNH, BỔ SUNG, ĐƠN GIÁ XÂY DỰNG CỦA MỘT SỐ LOẠI CÔNG TRÌNH ĐỂ XÁC ĐỊNH GIÁ TRỊ BỒI
THƯỜNG ĐỐI VỚI NHÀ Ở, CÔNG TRÌNH PHẢI THÁO DỠ KHI NHÀ NƯỚC THU HỒI ĐẤT TRÊN ĐỊA BÀN TỈNH SƠN LA</v>
      </c>
      <c r="O2" s="589"/>
      <c r="Q2" s="589"/>
      <c r="S2" s="589"/>
      <c r="U2" s="589"/>
      <c r="W2" s="589"/>
      <c r="Y2" s="589"/>
      <c r="AC2" s="589"/>
      <c r="AD2" s="589"/>
      <c r="AE2" s="589"/>
    </row>
    <row r="3" spans="1:104" ht="22.15" customHeight="1">
      <c r="B3" s="1060" t="str">
        <f>'DT man-month'!B3</f>
        <v>CÔNG TRÌNH: NHÀ 01 TẦNG, TƯỜNG CHỊU LỰC 110MM, MÁI LỢP FIBRÔXIMĂNG, KHÔNG CÓ KHU VỆ SINH KHÉP KÍN</v>
      </c>
      <c r="C3" s="422"/>
      <c r="D3" s="400"/>
      <c r="E3" s="401"/>
      <c r="F3" s="400"/>
      <c r="G3" s="400"/>
      <c r="H3" s="400"/>
      <c r="I3" s="400"/>
      <c r="J3" s="400"/>
      <c r="K3" s="400"/>
      <c r="L3" s="400"/>
      <c r="AC3" s="589"/>
      <c r="AD3" s="589"/>
      <c r="AE3" s="589"/>
      <c r="AF3" s="589"/>
      <c r="AO3" s="588"/>
    </row>
    <row r="4" spans="1:104" ht="18.75" customHeight="1">
      <c r="B4" s="13" t="s">
        <v>461</v>
      </c>
      <c r="C4" s="422"/>
      <c r="D4" s="400"/>
      <c r="E4" s="401"/>
      <c r="F4" s="400"/>
      <c r="G4" s="400"/>
      <c r="H4" s="400"/>
      <c r="I4" s="400"/>
      <c r="J4" s="400"/>
      <c r="K4" s="400"/>
      <c r="L4" s="400"/>
      <c r="O4" s="589"/>
      <c r="Q4" s="589"/>
      <c r="S4" s="589"/>
      <c r="U4" s="589"/>
      <c r="W4" s="589"/>
      <c r="Y4" s="589"/>
      <c r="AY4" s="588"/>
      <c r="AZ4" s="588"/>
      <c r="BA4" s="588"/>
      <c r="BB4" s="588"/>
      <c r="BC4" s="588"/>
    </row>
    <row r="5" spans="1:104" ht="18.75" customHeight="1">
      <c r="A5" s="425"/>
      <c r="B5" s="2505"/>
      <c r="C5" s="2505"/>
      <c r="D5" s="2505"/>
      <c r="E5" s="2505"/>
      <c r="F5" s="2505"/>
      <c r="G5" s="2505"/>
      <c r="H5" s="2505"/>
      <c r="I5" s="2505"/>
      <c r="J5" s="400"/>
      <c r="K5" s="400"/>
      <c r="L5" s="400"/>
      <c r="O5" s="589"/>
      <c r="Q5" s="589"/>
      <c r="S5" s="589"/>
      <c r="U5" s="589"/>
      <c r="W5" s="589"/>
      <c r="Y5" s="589"/>
      <c r="AY5" s="588"/>
      <c r="AZ5" s="588"/>
      <c r="BA5" s="588"/>
      <c r="BB5" s="588"/>
      <c r="BC5" s="588"/>
    </row>
    <row r="6" spans="1:104" ht="19.5" customHeight="1">
      <c r="B6" s="2506" t="s">
        <v>196</v>
      </c>
      <c r="C6" s="2503" t="s">
        <v>451</v>
      </c>
      <c r="D6" s="2503" t="s">
        <v>452</v>
      </c>
      <c r="E6" s="2508" t="s">
        <v>453</v>
      </c>
      <c r="F6" s="2503" t="s">
        <v>454</v>
      </c>
      <c r="G6" s="2503" t="s">
        <v>455</v>
      </c>
      <c r="H6" s="2503" t="s">
        <v>456</v>
      </c>
      <c r="I6" s="2503" t="s">
        <v>457</v>
      </c>
      <c r="J6" s="2503" t="s">
        <v>458</v>
      </c>
      <c r="K6" s="2503" t="s">
        <v>455</v>
      </c>
      <c r="L6" s="2503" t="s">
        <v>459</v>
      </c>
      <c r="M6" s="402"/>
      <c r="N6" s="403" t="s">
        <v>460</v>
      </c>
      <c r="O6" s="590"/>
      <c r="P6" s="590"/>
      <c r="Q6" s="590"/>
      <c r="R6" s="590"/>
      <c r="S6" s="590"/>
      <c r="T6" s="590"/>
      <c r="U6" s="590"/>
      <c r="V6" s="590"/>
      <c r="W6" s="590"/>
      <c r="X6" s="590"/>
      <c r="Y6" s="590"/>
      <c r="Z6" s="590"/>
      <c r="AA6" s="590"/>
      <c r="AB6" s="590"/>
      <c r="AC6" s="590"/>
      <c r="AD6" s="590"/>
      <c r="AE6" s="590"/>
      <c r="AF6" s="590"/>
      <c r="AG6" s="590"/>
      <c r="AH6" s="590"/>
      <c r="AI6" s="590"/>
      <c r="AJ6" s="590"/>
      <c r="AK6" s="590"/>
      <c r="AL6" s="590"/>
      <c r="AM6" s="590"/>
      <c r="AN6" s="590"/>
      <c r="AO6" s="590"/>
      <c r="AP6" s="590"/>
      <c r="AQ6" s="590"/>
      <c r="AR6" s="590"/>
      <c r="AS6" s="590"/>
      <c r="AT6" s="590"/>
      <c r="AU6" s="590"/>
      <c r="AV6" s="590"/>
      <c r="AW6" s="590"/>
      <c r="AX6" s="590"/>
      <c r="AY6" s="590"/>
      <c r="AZ6" s="590"/>
      <c r="BA6" s="590"/>
      <c r="BB6" s="590"/>
      <c r="BC6" s="590"/>
      <c r="BD6" s="590"/>
      <c r="BE6" s="590"/>
      <c r="BF6" s="590"/>
      <c r="BG6" s="590"/>
      <c r="BH6" s="590"/>
      <c r="BI6" s="590"/>
      <c r="BJ6" s="590"/>
      <c r="BK6" s="590"/>
      <c r="BL6" s="590"/>
      <c r="BM6" s="590"/>
      <c r="BN6" s="590"/>
      <c r="BO6" s="590"/>
      <c r="BP6" s="590"/>
      <c r="BQ6" s="590"/>
      <c r="BR6" s="590"/>
      <c r="BS6" s="590"/>
      <c r="BT6" s="590"/>
      <c r="BU6" s="590"/>
      <c r="BV6" s="404"/>
      <c r="BW6" s="404"/>
      <c r="BX6" s="404"/>
      <c r="BY6" s="404"/>
      <c r="BZ6" s="404"/>
      <c r="CA6" s="404"/>
      <c r="CB6" s="404"/>
      <c r="CC6" s="404"/>
      <c r="CD6" s="404"/>
      <c r="CE6" s="404"/>
      <c r="CF6" s="404"/>
      <c r="CG6" s="404"/>
      <c r="CH6" s="404"/>
      <c r="CI6" s="404"/>
      <c r="CJ6" s="404"/>
      <c r="CK6" s="404"/>
      <c r="CL6" s="404"/>
      <c r="CM6" s="404"/>
      <c r="CN6" s="404"/>
      <c r="CO6" s="404"/>
      <c r="CP6" s="404"/>
      <c r="CQ6" s="404"/>
      <c r="CR6" s="404"/>
      <c r="CS6" s="404"/>
      <c r="CT6" s="404"/>
      <c r="CU6" s="404"/>
      <c r="CV6" s="404"/>
      <c r="CW6" s="404"/>
      <c r="CX6" s="404"/>
      <c r="CY6" s="405"/>
      <c r="CZ6" s="406"/>
    </row>
    <row r="7" spans="1:104" ht="15.75" customHeight="1">
      <c r="B7" s="2507"/>
      <c r="C7" s="2504"/>
      <c r="D7" s="2504"/>
      <c r="E7" s="2509"/>
      <c r="F7" s="2504"/>
      <c r="G7" s="2504"/>
      <c r="H7" s="2504"/>
      <c r="I7" s="2504"/>
      <c r="J7" s="2504"/>
      <c r="K7" s="2504"/>
      <c r="L7" s="2504"/>
      <c r="M7" s="402"/>
      <c r="N7" s="591">
        <v>1</v>
      </c>
      <c r="O7" s="591">
        <v>2</v>
      </c>
      <c r="P7" s="591">
        <v>3</v>
      </c>
      <c r="Q7" s="591">
        <v>4</v>
      </c>
      <c r="R7" s="591">
        <v>5</v>
      </c>
      <c r="S7" s="591">
        <v>6</v>
      </c>
      <c r="T7" s="591">
        <v>7</v>
      </c>
      <c r="U7" s="591">
        <v>8</v>
      </c>
      <c r="V7" s="591">
        <v>9</v>
      </c>
      <c r="W7" s="591">
        <v>10</v>
      </c>
      <c r="X7" s="591">
        <v>11</v>
      </c>
      <c r="Y7" s="591">
        <v>12</v>
      </c>
      <c r="Z7" s="591">
        <v>13</v>
      </c>
      <c r="AA7" s="591">
        <v>14</v>
      </c>
      <c r="AB7" s="591">
        <v>15</v>
      </c>
      <c r="AC7" s="591">
        <v>16</v>
      </c>
      <c r="AD7" s="591">
        <v>17</v>
      </c>
      <c r="AE7" s="591">
        <v>18</v>
      </c>
      <c r="AF7" s="591">
        <v>19</v>
      </c>
      <c r="AG7" s="591">
        <v>20</v>
      </c>
      <c r="AH7" s="591">
        <v>21</v>
      </c>
      <c r="AI7" s="591">
        <v>22</v>
      </c>
      <c r="AJ7" s="591">
        <v>23</v>
      </c>
      <c r="AK7" s="591">
        <v>24</v>
      </c>
      <c r="AL7" s="591">
        <v>25</v>
      </c>
      <c r="AM7" s="591">
        <v>26</v>
      </c>
      <c r="AN7" s="591">
        <v>27</v>
      </c>
      <c r="AO7" s="591">
        <v>28</v>
      </c>
      <c r="AP7" s="591">
        <v>29</v>
      </c>
      <c r="AQ7" s="591">
        <v>30</v>
      </c>
      <c r="AR7" s="591">
        <v>31</v>
      </c>
      <c r="AS7" s="591">
        <v>32</v>
      </c>
      <c r="AT7" s="591">
        <v>33</v>
      </c>
      <c r="AU7" s="591">
        <v>34</v>
      </c>
      <c r="AV7" s="591">
        <v>35</v>
      </c>
      <c r="AW7" s="591">
        <v>36</v>
      </c>
      <c r="AX7" s="591">
        <v>37</v>
      </c>
      <c r="AY7" s="591">
        <v>38</v>
      </c>
      <c r="AZ7" s="591">
        <v>39</v>
      </c>
      <c r="BA7" s="591">
        <v>40</v>
      </c>
      <c r="BB7" s="591">
        <v>41</v>
      </c>
      <c r="BC7" s="591">
        <v>42</v>
      </c>
      <c r="BD7" s="591">
        <v>43</v>
      </c>
      <c r="BE7" s="591">
        <v>44</v>
      </c>
      <c r="BF7" s="591">
        <v>45</v>
      </c>
      <c r="BG7" s="591">
        <v>46</v>
      </c>
      <c r="BH7" s="591">
        <v>47</v>
      </c>
      <c r="BI7" s="591">
        <v>48</v>
      </c>
      <c r="BJ7" s="591">
        <v>49</v>
      </c>
      <c r="BK7" s="591">
        <v>50</v>
      </c>
      <c r="BL7" s="591">
        <v>51</v>
      </c>
      <c r="BM7" s="591">
        <v>52</v>
      </c>
      <c r="BN7" s="591">
        <v>53</v>
      </c>
      <c r="BO7" s="591">
        <v>54</v>
      </c>
      <c r="BP7" s="591">
        <v>55</v>
      </c>
      <c r="BQ7" s="591">
        <v>56</v>
      </c>
      <c r="BR7" s="591">
        <v>57</v>
      </c>
      <c r="BS7" s="591">
        <v>58</v>
      </c>
      <c r="BT7" s="591">
        <v>59</v>
      </c>
      <c r="BU7" s="591">
        <v>60</v>
      </c>
      <c r="BV7" s="407">
        <v>61</v>
      </c>
      <c r="BW7" s="407">
        <v>62</v>
      </c>
      <c r="BX7" s="407">
        <v>63</v>
      </c>
      <c r="BY7" s="407">
        <v>64</v>
      </c>
      <c r="BZ7" s="407">
        <v>65</v>
      </c>
      <c r="CA7" s="407">
        <v>66</v>
      </c>
      <c r="CB7" s="407">
        <v>67</v>
      </c>
      <c r="CC7" s="407">
        <v>68</v>
      </c>
      <c r="CD7" s="407">
        <v>69</v>
      </c>
      <c r="CE7" s="407">
        <v>70</v>
      </c>
      <c r="CF7" s="407">
        <v>71</v>
      </c>
      <c r="CG7" s="407">
        <v>72</v>
      </c>
      <c r="CH7" s="407">
        <v>73</v>
      </c>
      <c r="CI7" s="407">
        <v>74</v>
      </c>
      <c r="CJ7" s="407">
        <v>75</v>
      </c>
      <c r="CK7" s="407">
        <v>76</v>
      </c>
      <c r="CL7" s="407">
        <v>77</v>
      </c>
      <c r="CM7" s="407">
        <v>78</v>
      </c>
      <c r="CN7" s="407">
        <v>79</v>
      </c>
      <c r="CO7" s="407">
        <v>80</v>
      </c>
      <c r="CP7" s="407">
        <v>81</v>
      </c>
      <c r="CQ7" s="407">
        <v>82</v>
      </c>
      <c r="CR7" s="407">
        <v>83</v>
      </c>
      <c r="CS7" s="407">
        <v>84</v>
      </c>
      <c r="CT7" s="407">
        <v>85</v>
      </c>
      <c r="CU7" s="407">
        <v>86</v>
      </c>
      <c r="CV7" s="407">
        <v>87</v>
      </c>
      <c r="CW7" s="407">
        <v>88</v>
      </c>
      <c r="CX7" s="407">
        <v>89</v>
      </c>
      <c r="CY7" s="407">
        <v>90</v>
      </c>
      <c r="CZ7" s="406"/>
    </row>
    <row r="8" spans="1:104" ht="19.5" customHeight="1">
      <c r="B8" s="408">
        <v>1</v>
      </c>
      <c r="C8" s="733"/>
      <c r="D8" s="408"/>
      <c r="E8" s="409"/>
      <c r="F8" s="410">
        <v>1</v>
      </c>
      <c r="G8" s="408">
        <v>1</v>
      </c>
      <c r="H8" s="409">
        <f>IF(I8="","",E8+I8-1)</f>
        <v>0</v>
      </c>
      <c r="I8" s="408">
        <f>IF(F8="","",F8+G8-1)</f>
        <v>1</v>
      </c>
      <c r="J8" s="411">
        <f t="shared" ref="J8:K11" si="0">F8</f>
        <v>1</v>
      </c>
      <c r="K8" s="411">
        <f t="shared" si="0"/>
        <v>1</v>
      </c>
      <c r="L8" s="412">
        <v>1</v>
      </c>
      <c r="N8" s="592"/>
      <c r="CY8" s="414"/>
      <c r="CZ8" s="406"/>
    </row>
    <row r="9" spans="1:104" ht="19.5" customHeight="1">
      <c r="B9" s="408"/>
      <c r="C9" s="733"/>
      <c r="D9" s="408"/>
      <c r="E9" s="409"/>
      <c r="F9" s="408"/>
      <c r="G9" s="408"/>
      <c r="H9" s="409"/>
      <c r="I9" s="408"/>
      <c r="J9" s="408">
        <f t="shared" si="0"/>
        <v>0</v>
      </c>
      <c r="K9" s="408">
        <f t="shared" si="0"/>
        <v>0</v>
      </c>
      <c r="L9" s="412">
        <v>1</v>
      </c>
      <c r="N9" s="592"/>
      <c r="CY9" s="414"/>
      <c r="CZ9" s="406"/>
    </row>
    <row r="10" spans="1:104" ht="19.5" customHeight="1">
      <c r="B10" s="408"/>
      <c r="C10" s="733"/>
      <c r="D10" s="408"/>
      <c r="E10" s="409"/>
      <c r="F10" s="408"/>
      <c r="G10" s="408"/>
      <c r="H10" s="409"/>
      <c r="I10" s="408"/>
      <c r="J10" s="408">
        <f t="shared" si="0"/>
        <v>0</v>
      </c>
      <c r="K10" s="408">
        <f t="shared" si="0"/>
        <v>0</v>
      </c>
      <c r="L10" s="412">
        <v>1</v>
      </c>
      <c r="N10" s="592"/>
      <c r="CY10" s="414"/>
      <c r="CZ10" s="406"/>
    </row>
    <row r="11" spans="1:104" ht="19.5" customHeight="1">
      <c r="B11" s="408"/>
      <c r="C11" s="733"/>
      <c r="D11" s="408"/>
      <c r="E11" s="409"/>
      <c r="F11" s="408"/>
      <c r="G11" s="408"/>
      <c r="H11" s="409"/>
      <c r="I11" s="408"/>
      <c r="J11" s="408">
        <f t="shared" si="0"/>
        <v>0</v>
      </c>
      <c r="K11" s="408">
        <f t="shared" si="0"/>
        <v>0</v>
      </c>
      <c r="L11" s="412">
        <v>1</v>
      </c>
      <c r="N11" s="592"/>
      <c r="CY11" s="414"/>
      <c r="CZ11" s="406"/>
    </row>
    <row r="12" spans="1:104" s="396" customFormat="1" ht="18.75" customHeight="1">
      <c r="A12" s="424"/>
      <c r="B12" s="415"/>
      <c r="C12" s="734"/>
      <c r="D12" s="415"/>
      <c r="E12" s="416"/>
      <c r="F12" s="415"/>
      <c r="G12" s="415"/>
      <c r="H12" s="415"/>
      <c r="I12" s="415"/>
      <c r="J12" s="415"/>
      <c r="K12" s="415"/>
      <c r="L12" s="417"/>
      <c r="M12" s="418"/>
      <c r="N12" s="593"/>
      <c r="O12" s="594"/>
      <c r="P12" s="594"/>
      <c r="Q12" s="594"/>
      <c r="R12" s="594"/>
      <c r="S12" s="594"/>
      <c r="T12" s="594"/>
      <c r="U12" s="594"/>
      <c r="V12" s="594"/>
      <c r="W12" s="594"/>
      <c r="X12" s="594"/>
      <c r="Y12" s="594"/>
      <c r="Z12" s="594"/>
      <c r="AA12" s="594"/>
      <c r="AB12" s="594"/>
      <c r="AC12" s="594"/>
      <c r="AD12" s="594"/>
      <c r="AE12" s="594"/>
      <c r="AF12" s="594"/>
      <c r="AG12" s="594"/>
      <c r="AH12" s="595"/>
      <c r="AI12" s="595"/>
      <c r="AJ12" s="595"/>
      <c r="AK12" s="595"/>
      <c r="AL12" s="595"/>
      <c r="AM12" s="595"/>
      <c r="AN12" s="595"/>
      <c r="AO12" s="595"/>
      <c r="AP12" s="595"/>
      <c r="AQ12" s="595"/>
      <c r="AR12" s="595"/>
      <c r="AS12" s="595"/>
      <c r="AT12" s="595"/>
      <c r="AU12" s="595"/>
      <c r="AV12" s="595"/>
      <c r="AW12" s="595"/>
      <c r="AX12" s="595"/>
      <c r="AY12" s="595"/>
      <c r="AZ12" s="595"/>
      <c r="BA12" s="595"/>
      <c r="BB12" s="595"/>
      <c r="BC12" s="595"/>
      <c r="BD12" s="595"/>
      <c r="BE12" s="595"/>
      <c r="BF12" s="595"/>
      <c r="BG12" s="595"/>
      <c r="BH12" s="595"/>
      <c r="BI12" s="595"/>
      <c r="BJ12" s="595"/>
      <c r="BK12" s="595"/>
      <c r="BL12" s="595"/>
      <c r="BM12" s="595"/>
      <c r="BN12" s="595"/>
      <c r="BO12" s="595"/>
      <c r="BP12" s="595"/>
      <c r="BQ12" s="595"/>
      <c r="BR12" s="595"/>
      <c r="BS12" s="595"/>
      <c r="BT12" s="595"/>
      <c r="BU12" s="589"/>
      <c r="BV12" s="419"/>
      <c r="BW12" s="419"/>
      <c r="BX12" s="419"/>
      <c r="BY12" s="419"/>
      <c r="BZ12" s="419"/>
      <c r="CA12" s="419"/>
      <c r="CB12" s="419"/>
      <c r="CC12" s="419"/>
      <c r="CD12" s="419"/>
      <c r="CE12" s="419"/>
      <c r="CF12" s="419"/>
      <c r="CG12" s="419"/>
      <c r="CH12" s="419"/>
      <c r="CI12" s="419"/>
      <c r="CJ12" s="419"/>
      <c r="CK12" s="419"/>
      <c r="CL12" s="419"/>
      <c r="CM12" s="419"/>
      <c r="CN12" s="419"/>
      <c r="CO12" s="419"/>
      <c r="CP12" s="419"/>
      <c r="CQ12" s="419"/>
      <c r="CR12" s="419"/>
      <c r="CS12" s="419"/>
      <c r="CT12" s="419"/>
      <c r="CU12" s="419"/>
      <c r="CV12" s="419"/>
      <c r="CW12" s="419"/>
      <c r="CX12" s="419"/>
      <c r="CY12" s="420"/>
      <c r="CZ12" s="413"/>
    </row>
    <row r="13" spans="1:104">
      <c r="B13" s="396"/>
    </row>
  </sheetData>
  <mergeCells count="13">
    <mergeCell ref="L6:L7"/>
    <mergeCell ref="B1:I1"/>
    <mergeCell ref="B5:I5"/>
    <mergeCell ref="B6:B7"/>
    <mergeCell ref="C6:C7"/>
    <mergeCell ref="D6:D7"/>
    <mergeCell ref="E6:E7"/>
    <mergeCell ref="F6:F7"/>
    <mergeCell ref="G6:G7"/>
    <mergeCell ref="H6:H7"/>
    <mergeCell ref="I6:I7"/>
    <mergeCell ref="J6:J7"/>
    <mergeCell ref="K6:K7"/>
  </mergeCells>
  <conditionalFormatting sqref="N8:CY12">
    <cfRule type="expression" dxfId="31" priority="3">
      <formula>PercentComplete</formula>
    </cfRule>
    <cfRule type="expression" dxfId="30" priority="5">
      <formula>PercentCompleteBeyond</formula>
    </cfRule>
    <cfRule type="expression" dxfId="29" priority="6">
      <formula>Actual</formula>
    </cfRule>
    <cfRule type="expression" dxfId="28" priority="7">
      <formula>ActualBeyond</formula>
    </cfRule>
    <cfRule type="expression" dxfId="27" priority="8">
      <formula>Plan</formula>
    </cfRule>
    <cfRule type="expression" dxfId="26" priority="9">
      <formula>N$7=period_selected</formula>
    </cfRule>
    <cfRule type="expression" dxfId="25" priority="11">
      <formula>MOD(COLUMN(),2)</formula>
    </cfRule>
    <cfRule type="expression" dxfId="24" priority="12">
      <formula>MOD(COLUMN(),2)=0</formula>
    </cfRule>
  </conditionalFormatting>
  <conditionalFormatting sqref="G13:CY13 C13:E13">
    <cfRule type="expression" dxfId="23" priority="4">
      <formula>TRUE</formula>
    </cfRule>
  </conditionalFormatting>
  <conditionalFormatting sqref="N7:CY7">
    <cfRule type="expression" dxfId="22" priority="10">
      <formula>N$7=period_selected</formula>
    </cfRule>
  </conditionalFormatting>
  <conditionalFormatting sqref="F13">
    <cfRule type="expression" dxfId="21" priority="2">
      <formula>TRUE</formula>
    </cfRule>
  </conditionalFormatting>
  <conditionalFormatting sqref="B13">
    <cfRule type="expression" dxfId="20" priority="1">
      <formula>TRUE</formula>
    </cfRule>
  </conditionalFormatting>
  <dataValidations xWindow="78" yWindow="366" count="1">
    <dataValidation allowBlank="1" showInputMessage="1" showErrorMessage="1" promptTitle="Nhập công việc thực hiện" prompt="1. Nhập nội dung trong cột Danh mục công việc_x000a_2. Nhập ngày bắt đầu công việc_x000a_3. Nhập thời gian thực hiện công việc" sqref="C8"/>
  </dataValidations>
  <pageMargins left="0.45" right="0.45" top="0.5" bottom="0.5" header="0.3" footer="0.3"/>
  <pageSetup scale="50" fitToHeight="0" orientation="landscape"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00B050"/>
  </sheetPr>
  <dimension ref="A1:J18"/>
  <sheetViews>
    <sheetView showZeros="0" zoomScaleSheetLayoutView="100" workbookViewId="0">
      <selection activeCell="M35" sqref="M35"/>
    </sheetView>
  </sheetViews>
  <sheetFormatPr defaultColWidth="9" defaultRowHeight="15"/>
  <cols>
    <col min="1" max="1" width="5.85546875" style="363" customWidth="1"/>
    <col min="2" max="2" width="4.85546875" customWidth="1"/>
    <col min="3" max="3" width="43.140625" style="802" customWidth="1"/>
    <col min="4" max="5" width="9.42578125" style="802" customWidth="1"/>
    <col min="6" max="6" width="22.5703125" style="802" customWidth="1"/>
    <col min="7" max="7" width="19.42578125" style="178" customWidth="1"/>
    <col min="8" max="8" width="14.5703125" style="178" customWidth="1"/>
    <col min="9" max="9" width="18.42578125" style="178" customWidth="1"/>
    <col min="10" max="10" width="43.5703125" style="856" customWidth="1"/>
    <col min="11" max="16384" width="9" style="27"/>
  </cols>
  <sheetData>
    <row r="1" spans="1:10" ht="22.5">
      <c r="B1" s="257" t="s">
        <v>54</v>
      </c>
      <c r="C1" s="814"/>
      <c r="D1" s="814"/>
      <c r="E1" s="814"/>
      <c r="F1" s="814"/>
      <c r="G1" s="52"/>
      <c r="H1" s="52"/>
      <c r="I1" s="52"/>
      <c r="J1" s="1026"/>
    </row>
    <row r="2" spans="1:10" ht="22.15" customHeight="1">
      <c r="B2" s="1027"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94"/>
      <c r="D2" s="94"/>
      <c r="E2" s="94"/>
      <c r="F2" s="94"/>
      <c r="G2" s="48"/>
      <c r="H2" s="48"/>
      <c r="I2" s="48"/>
      <c r="J2" s="1026"/>
    </row>
    <row r="3" spans="1:10" ht="22.15" customHeight="1">
      <c r="B3" s="1027" t="str">
        <f>'Bia-Dutoan'!D43&amp;'Bia-Dutoan'!E43</f>
        <v>CÔNG TRÌNH: NHÀ 01 TẦNG, TƯỜNG CHỊU LỰC 110MM, MÁI LỢP FIBRÔXIMĂNG, KHÔNG CÓ KHU VỆ SINH KHÉP KÍN</v>
      </c>
      <c r="C3" s="94"/>
      <c r="D3" s="94"/>
      <c r="E3" s="94"/>
      <c r="F3" s="94"/>
      <c r="G3" s="48"/>
      <c r="H3" s="48"/>
      <c r="I3" s="48"/>
      <c r="J3" s="1026"/>
    </row>
    <row r="4" spans="1:10" ht="15.75">
      <c r="B4" s="359"/>
      <c r="C4" s="801"/>
      <c r="D4" s="801"/>
      <c r="E4" s="801"/>
      <c r="F4" s="813"/>
      <c r="G4" s="31"/>
      <c r="H4" s="32"/>
      <c r="I4" s="32" t="s">
        <v>310</v>
      </c>
    </row>
    <row r="5" spans="1:10" ht="21" customHeight="1">
      <c r="B5" s="1028" t="s">
        <v>196</v>
      </c>
      <c r="C5" s="1015" t="s">
        <v>42</v>
      </c>
      <c r="D5" s="1015" t="s">
        <v>43</v>
      </c>
      <c r="E5" s="1015" t="s">
        <v>127</v>
      </c>
      <c r="F5" s="1015" t="s">
        <v>44</v>
      </c>
      <c r="G5" s="1029" t="s">
        <v>488</v>
      </c>
      <c r="H5" s="1029" t="s">
        <v>46</v>
      </c>
      <c r="I5" s="1029" t="s">
        <v>490</v>
      </c>
      <c r="J5" s="1015" t="s">
        <v>615</v>
      </c>
    </row>
    <row r="6" spans="1:10" s="26" customFormat="1" ht="21" customHeight="1">
      <c r="A6" s="386"/>
      <c r="B6" s="388"/>
      <c r="C6" s="864"/>
      <c r="D6" s="466"/>
      <c r="E6" s="863"/>
      <c r="F6" s="863"/>
      <c r="G6" s="862"/>
      <c r="H6" s="862"/>
      <c r="I6" s="862"/>
      <c r="J6" s="37"/>
    </row>
    <row r="7" spans="1:10" s="26" customFormat="1" ht="21" customHeight="1">
      <c r="A7" s="386"/>
      <c r="B7" s="387"/>
      <c r="C7" s="37"/>
      <c r="D7" s="466"/>
      <c r="E7" s="50"/>
      <c r="F7" s="50"/>
      <c r="G7" s="38"/>
      <c r="H7" s="38"/>
      <c r="I7" s="38"/>
      <c r="J7" s="37"/>
    </row>
    <row r="8" spans="1:10" s="26" customFormat="1" ht="21" customHeight="1">
      <c r="A8" s="386"/>
      <c r="B8" s="387"/>
      <c r="C8" s="37"/>
      <c r="D8" s="466"/>
      <c r="E8" s="50"/>
      <c r="F8" s="50"/>
      <c r="G8" s="38"/>
      <c r="H8" s="38"/>
      <c r="I8" s="38"/>
      <c r="J8" s="37"/>
    </row>
    <row r="9" spans="1:10" s="26" customFormat="1" ht="21" customHeight="1">
      <c r="A9" s="386"/>
      <c r="B9" s="387"/>
      <c r="C9" s="37"/>
      <c r="D9" s="466"/>
      <c r="E9" s="50"/>
      <c r="F9" s="50"/>
      <c r="G9" s="38"/>
      <c r="H9" s="38"/>
      <c r="I9" s="38"/>
      <c r="J9" s="37"/>
    </row>
    <row r="10" spans="1:10" ht="21" customHeight="1">
      <c r="B10" s="549"/>
      <c r="C10" s="285" t="s">
        <v>49</v>
      </c>
      <c r="D10" s="466"/>
      <c r="E10" s="285"/>
      <c r="F10" s="200"/>
      <c r="G10" s="286">
        <f>SUM(G6:G9)</f>
        <v>0</v>
      </c>
      <c r="H10" s="286">
        <f>SUM(H6:H9)</f>
        <v>0</v>
      </c>
      <c r="I10" s="286">
        <f>SUM(I6:I9)</f>
        <v>0</v>
      </c>
      <c r="J10" s="34"/>
    </row>
    <row r="11" spans="1:10" ht="21" customHeight="1">
      <c r="B11" s="545"/>
      <c r="C11" s="546" t="s">
        <v>369</v>
      </c>
      <c r="D11" s="547"/>
      <c r="E11" s="547"/>
      <c r="F11" s="547"/>
      <c r="G11" s="548">
        <f>ROUND(G10,-3)</f>
        <v>0</v>
      </c>
      <c r="H11" s="548">
        <f>ROUND(H10,-3)</f>
        <v>0</v>
      </c>
      <c r="I11" s="548">
        <f>ROUND(I10,-3)</f>
        <v>0</v>
      </c>
      <c r="J11" s="857"/>
    </row>
    <row r="12" spans="1:10">
      <c r="B12" s="362"/>
    </row>
    <row r="14" spans="1:10" ht="15.75">
      <c r="B14" s="53"/>
    </row>
    <row r="15" spans="1:10" customFormat="1" ht="15.75">
      <c r="A15" s="362"/>
      <c r="B15" s="17"/>
      <c r="C15" s="802"/>
      <c r="D15" s="802"/>
      <c r="E15" s="802"/>
      <c r="F15" s="802"/>
      <c r="G15" s="178"/>
      <c r="H15" s="178"/>
      <c r="I15" s="178"/>
      <c r="J15" s="856"/>
    </row>
    <row r="16" spans="1:10" customFormat="1" ht="15.75">
      <c r="A16" s="362"/>
      <c r="B16" s="17"/>
      <c r="C16" s="802"/>
      <c r="D16" s="802"/>
      <c r="E16" s="802"/>
      <c r="F16" s="802"/>
      <c r="G16" s="178"/>
      <c r="H16" s="178"/>
      <c r="I16" s="178"/>
      <c r="J16" s="856"/>
    </row>
    <row r="17" spans="1:10" customFormat="1" ht="15.75">
      <c r="A17" s="362"/>
      <c r="B17" s="53"/>
      <c r="C17" s="802"/>
      <c r="D17" s="802"/>
      <c r="E17" s="802"/>
      <c r="F17" s="802"/>
      <c r="G17" s="178"/>
      <c r="H17" s="178"/>
      <c r="I17" s="178"/>
      <c r="J17" s="856"/>
    </row>
    <row r="18" spans="1:10" customFormat="1" ht="15.75">
      <c r="A18" s="362"/>
      <c r="B18" s="17"/>
      <c r="C18" s="802"/>
      <c r="D18" s="802"/>
      <c r="E18" s="802"/>
      <c r="F18" s="802"/>
      <c r="G18" s="178"/>
      <c r="H18" s="178"/>
      <c r="I18" s="178"/>
      <c r="J18" s="856"/>
    </row>
  </sheetData>
  <phoneticPr fontId="88" type="noConversion"/>
  <printOptions horizontalCentered="1"/>
  <pageMargins left="0.75" right="0.25" top="0.5" bottom="0.5" header="0.25" footer="0.25"/>
  <pageSetup paperSize="9" scale="96" orientation="landscape" blackAndWhite="1" horizontalDpi="300" verticalDpi="300" r:id="rId1"/>
  <headerFooter>
    <oddFooter>&amp;C&amp;P</oddFooter>
  </headerFooter>
  <ignoredErrors>
    <ignoredError sqref="B2" unlockedFormula="1"/>
  </ignoredErrors>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2">
    <tabColor rgb="FFFFFF00"/>
  </sheetPr>
  <dimension ref="A1:J20"/>
  <sheetViews>
    <sheetView showZeros="0" topLeftCell="B1" zoomScaleSheetLayoutView="100" workbookViewId="0">
      <selection activeCell="B11" sqref="B11"/>
    </sheetView>
  </sheetViews>
  <sheetFormatPr defaultRowHeight="15"/>
  <cols>
    <col min="1" max="1" width="5.5703125" customWidth="1"/>
    <col min="2" max="2" width="43.42578125" customWidth="1"/>
    <col min="3" max="3" width="7.5703125" style="470" customWidth="1"/>
    <col min="4" max="4" width="11.5703125" style="896" customWidth="1"/>
    <col min="5" max="5" width="13.5703125" style="900" customWidth="1"/>
    <col min="6" max="6" width="15.140625" style="900" customWidth="1"/>
    <col min="7" max="7" width="13.140625" style="900" customWidth="1"/>
    <col min="8" max="8" width="17" style="900" customWidth="1"/>
    <col min="9" max="9" width="7.42578125" customWidth="1"/>
    <col min="10" max="10" width="9.140625" style="667" customWidth="1"/>
  </cols>
  <sheetData>
    <row r="1" spans="1:10" ht="22.5">
      <c r="A1" s="256" t="s">
        <v>851</v>
      </c>
      <c r="B1" s="6"/>
      <c r="C1" s="6"/>
      <c r="D1" s="6"/>
      <c r="E1" s="48"/>
      <c r="F1" s="48"/>
      <c r="G1" s="48"/>
      <c r="H1" s="48"/>
      <c r="I1" s="6"/>
      <c r="J1" s="666"/>
    </row>
    <row r="2" spans="1:10" ht="22.15" customHeight="1">
      <c r="A2" s="1019"/>
      <c r="B2" s="1220" t="str">
        <f>"Tên Dự án: "&amp;'Bia-Dutoan'!E11</f>
        <v>Tên Dự án: ĐIỀU CHỈNH, BỔ SUNG, ĐƠN GIÁ XÂY DỰNG CỦA MỘT SỐ LOẠI CÔNG TRÌNH ĐỂ XÁC ĐỊNH GIÁ TRỊ BỒI
THƯỜNG ĐỐI VỚI NHÀ Ở, CÔNG TRÌNH PHẢI THÁO DỠ KHI NHÀ NƯỚC THU HỒI ĐẤT TRÊN ĐỊA BÀN TỈNH SƠN LA</v>
      </c>
      <c r="C2" s="6"/>
      <c r="D2" s="6"/>
      <c r="E2" s="48"/>
      <c r="F2" s="48"/>
      <c r="G2" s="48"/>
      <c r="H2" s="48"/>
      <c r="I2" s="6"/>
      <c r="J2" s="666"/>
    </row>
    <row r="3" spans="1:10" ht="22.15" customHeight="1">
      <c r="A3" s="1019"/>
      <c r="B3" s="1220" t="s">
        <v>852</v>
      </c>
      <c r="C3" s="6"/>
      <c r="D3" s="6"/>
      <c r="E3" s="48"/>
      <c r="F3" s="48"/>
      <c r="G3" s="48"/>
      <c r="H3" s="48"/>
      <c r="I3" s="6"/>
      <c r="J3" s="666"/>
    </row>
    <row r="4" spans="1:10" ht="22.15" customHeight="1">
      <c r="A4" s="1019"/>
      <c r="B4" s="1220" t="s">
        <v>857</v>
      </c>
      <c r="C4" s="6"/>
      <c r="D4" s="6"/>
      <c r="E4" s="48"/>
      <c r="F4" s="48"/>
      <c r="G4" s="48"/>
      <c r="H4" s="48"/>
      <c r="I4" s="6"/>
      <c r="J4" s="666"/>
    </row>
    <row r="5" spans="1:10" ht="18.75">
      <c r="A5" s="17"/>
      <c r="B5" s="1220" t="s">
        <v>858</v>
      </c>
      <c r="C5" s="25"/>
      <c r="D5" s="271"/>
      <c r="E5" s="269"/>
      <c r="F5" s="269"/>
      <c r="G5" s="269"/>
      <c r="J5" s="666"/>
    </row>
    <row r="6" spans="1:10" ht="18.75">
      <c r="A6" s="17"/>
      <c r="B6" s="1220"/>
      <c r="C6" s="25"/>
      <c r="D6" s="271"/>
      <c r="E6" s="269"/>
      <c r="F6" s="269"/>
      <c r="G6" s="269"/>
      <c r="H6" s="162" t="s">
        <v>310</v>
      </c>
      <c r="J6" s="666"/>
    </row>
    <row r="7" spans="1:10" ht="47.25">
      <c r="A7" s="1022" t="s">
        <v>196</v>
      </c>
      <c r="B7" s="1022" t="s">
        <v>42</v>
      </c>
      <c r="C7" s="1022" t="s">
        <v>122</v>
      </c>
      <c r="D7" s="1022" t="s">
        <v>136</v>
      </c>
      <c r="E7" s="1024" t="s">
        <v>123</v>
      </c>
      <c r="F7" s="1024" t="s">
        <v>623</v>
      </c>
      <c r="G7" s="1024" t="s">
        <v>46</v>
      </c>
      <c r="H7" s="1024" t="s">
        <v>489</v>
      </c>
      <c r="I7" s="1022" t="s">
        <v>94</v>
      </c>
      <c r="J7" s="1045" t="s">
        <v>43</v>
      </c>
    </row>
    <row r="8" spans="1:10">
      <c r="A8" s="652" t="s">
        <v>273</v>
      </c>
      <c r="B8" s="653" t="s">
        <v>276</v>
      </c>
      <c r="C8" s="442" t="s">
        <v>277</v>
      </c>
      <c r="D8" s="442" t="s">
        <v>278</v>
      </c>
      <c r="E8" s="443" t="s">
        <v>279</v>
      </c>
      <c r="F8" s="443" t="s">
        <v>280</v>
      </c>
      <c r="G8" s="447" t="s">
        <v>282</v>
      </c>
      <c r="H8" s="447" t="s">
        <v>283</v>
      </c>
      <c r="I8" s="654" t="s">
        <v>288</v>
      </c>
      <c r="J8" s="665"/>
    </row>
    <row r="9" spans="1:10" ht="17.25">
      <c r="A9" s="655">
        <v>1</v>
      </c>
      <c r="B9" s="663" t="s">
        <v>587</v>
      </c>
      <c r="C9" s="907"/>
      <c r="D9" s="901"/>
      <c r="E9" s="132"/>
      <c r="F9" s="903">
        <f ca="1">'THCP xay dung'!D24</f>
        <v>1778530.1310742549</v>
      </c>
      <c r="G9" s="903">
        <f ca="1">'THCP xay dung'!D25</f>
        <v>177853.0131074255</v>
      </c>
      <c r="H9" s="903">
        <f ca="1">'THCP xay dung'!D26</f>
        <v>1956383.1441816804</v>
      </c>
      <c r="I9" s="657" t="s">
        <v>588</v>
      </c>
      <c r="J9" s="374"/>
    </row>
    <row r="10" spans="1:10" ht="18.75">
      <c r="A10" s="33">
        <v>2</v>
      </c>
      <c r="B10" s="662" t="s">
        <v>853</v>
      </c>
      <c r="C10" s="39"/>
      <c r="D10" s="902"/>
      <c r="E10" s="904"/>
      <c r="F10" s="728"/>
      <c r="G10" s="728"/>
      <c r="H10" s="728">
        <f ca="1">SUM(H11:H12)</f>
        <v>117382.98865090081</v>
      </c>
      <c r="I10" s="39" t="s">
        <v>527</v>
      </c>
      <c r="J10" s="50"/>
    </row>
    <row r="11" spans="1:10" ht="31.5">
      <c r="A11" s="658" t="s">
        <v>854</v>
      </c>
      <c r="B11" s="659" t="s">
        <v>327</v>
      </c>
      <c r="C11" s="889"/>
      <c r="D11" s="893"/>
      <c r="E11" s="898"/>
      <c r="F11" s="131">
        <f ca="1">(F9+F10)*$J$11</f>
        <v>88926.506553712752</v>
      </c>
      <c r="G11" s="131">
        <f ca="1">(G9+G10)*$J$11</f>
        <v>8892.6506553712752</v>
      </c>
      <c r="H11" s="131">
        <f ca="1">H9*J11</f>
        <v>97819.15720908402</v>
      </c>
      <c r="I11" s="660"/>
      <c r="J11" s="668">
        <f>'CP Du phong'!E124</f>
        <v>0.05</v>
      </c>
    </row>
    <row r="12" spans="1:10" ht="15.75">
      <c r="A12" s="658" t="s">
        <v>855</v>
      </c>
      <c r="B12" s="659" t="s">
        <v>328</v>
      </c>
      <c r="C12" s="889"/>
      <c r="D12" s="893"/>
      <c r="E12" s="898"/>
      <c r="F12" s="131">
        <f ca="1">F9*J12</f>
        <v>17785.301310742539</v>
      </c>
      <c r="G12" s="131">
        <f ca="1">(G9+G10)*$J$12</f>
        <v>1778.5301310742541</v>
      </c>
      <c r="H12" s="131">
        <f ca="1">H9*J12</f>
        <v>19563.831441816794</v>
      </c>
      <c r="I12" s="660"/>
      <c r="J12" s="668">
        <f ca="1">IF('CP Du phong'!D162=0,0,'CP Du phong'!D162-'THDT goi thau XD'!J11)</f>
        <v>9.999999999999995E-3</v>
      </c>
    </row>
    <row r="13" spans="1:10" ht="17.25">
      <c r="A13" s="637"/>
      <c r="B13" s="285" t="s">
        <v>794</v>
      </c>
      <c r="C13" s="285"/>
      <c r="D13" s="895"/>
      <c r="E13" s="729"/>
      <c r="F13" s="729"/>
      <c r="G13" s="730"/>
      <c r="H13" s="730">
        <f ca="1">H9+H10</f>
        <v>2073766.1328325812</v>
      </c>
      <c r="I13" s="285" t="s">
        <v>605</v>
      </c>
      <c r="J13" s="669">
        <f>SUM(J9:J9)</f>
        <v>0</v>
      </c>
    </row>
    <row r="14" spans="1:10">
      <c r="A14" s="155"/>
      <c r="B14" s="155"/>
      <c r="C14" s="264"/>
      <c r="D14" s="789"/>
      <c r="E14" s="604"/>
      <c r="F14" s="604"/>
      <c r="G14" s="604"/>
      <c r="H14" s="604"/>
      <c r="I14" s="155"/>
      <c r="J14" s="666"/>
    </row>
    <row r="16" spans="1:10" ht="15.75">
      <c r="A16" s="664" t="s">
        <v>51</v>
      </c>
      <c r="B16" s="101"/>
      <c r="C16" s="25"/>
      <c r="D16" s="271"/>
      <c r="E16" s="269"/>
      <c r="F16" s="269"/>
      <c r="G16" s="905" t="s">
        <v>52</v>
      </c>
      <c r="H16" s="906"/>
      <c r="I16" s="73"/>
    </row>
    <row r="17" spans="1:9" ht="15.75">
      <c r="A17" s="70"/>
      <c r="G17" s="905"/>
      <c r="H17" s="906"/>
      <c r="I17" s="73"/>
    </row>
    <row r="18" spans="1:9" ht="15.75">
      <c r="A18" s="68"/>
      <c r="G18" s="905"/>
      <c r="H18" s="906"/>
      <c r="I18" s="68"/>
    </row>
    <row r="19" spans="1:9" ht="15.75">
      <c r="A19" s="68"/>
      <c r="G19" s="905"/>
      <c r="H19" s="906"/>
      <c r="I19" s="68"/>
    </row>
    <row r="20" spans="1:9" ht="15.75">
      <c r="A20" s="74"/>
      <c r="B20" s="17"/>
      <c r="C20" s="25"/>
      <c r="D20" s="271"/>
      <c r="E20" s="269"/>
      <c r="F20" s="269"/>
      <c r="G20" s="905" t="s">
        <v>335</v>
      </c>
      <c r="H20" s="906"/>
      <c r="I20" s="72"/>
    </row>
  </sheetData>
  <phoneticPr fontId="60" type="noConversion"/>
  <printOptions horizontalCentered="1"/>
  <pageMargins left="0.75" right="0.25" top="0.75" bottom="0.5" header="0.25" footer="0.25"/>
  <pageSetup paperSize="9" scale="87" orientation="portrait" blackAndWhite="1" horizontalDpi="300" verticalDpi="300" r:id="rId1"/>
  <headerFooter>
    <oddHeader>&amp;L&amp;"+,nghiêng"&amp;10Dự toán GXD - www.giaxaydung.vn</oddHeader>
    <oddFooter>&amp;C&amp;P</oddFooter>
  </headerFooter>
  <ignoredErrors>
    <ignoredError sqref="B2" unlockedFormula="1"/>
  </ignoredErrors>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0000"/>
  </sheetPr>
  <dimension ref="A1:BT212"/>
  <sheetViews>
    <sheetView zoomScale="70" zoomScaleNormal="70" workbookViewId="0">
      <selection activeCell="E34" sqref="E34"/>
    </sheetView>
  </sheetViews>
  <sheetFormatPr defaultColWidth="9.140625" defaultRowHeight="15"/>
  <cols>
    <col min="1" max="1" width="5.85546875" style="349" customWidth="1"/>
    <col min="2" max="2" width="59.85546875" style="349" customWidth="1"/>
    <col min="3" max="3" width="17.42578125" style="349" customWidth="1"/>
    <col min="4" max="7" width="14.5703125" style="349" customWidth="1"/>
    <col min="8" max="8" width="9.140625" style="349"/>
    <col min="9" max="9" width="9.140625" style="349" customWidth="1"/>
    <col min="10" max="16384" width="9.140625" style="349"/>
  </cols>
  <sheetData>
    <row r="1" spans="1:8" ht="22.5">
      <c r="A1" s="721" t="s">
        <v>1317</v>
      </c>
      <c r="B1" s="851"/>
      <c r="C1" s="851"/>
      <c r="D1" s="851"/>
      <c r="E1" s="796"/>
      <c r="F1" s="796"/>
    </row>
    <row r="2" spans="1:8" ht="22.15" customHeight="1">
      <c r="A2" s="8" t="str">
        <f>'Bia-TMDT'!C17&amp;'Bia-TMDT'!E17</f>
        <v>DỰ ÁN: ĐIỀU CHỈNH, BỔ SUNG, ĐƠN GIÁ XÂY DỰNG CỦA MỘT SỐ LOẠI CÔNG TRÌNH ĐỂ XÁC ĐỊNH GIÁ TRỊ BỒI
THƯỜNG ĐỐI VỚI NHÀ Ở, CÔNG TRÌNH PHẢI THÁO DỠ KHI NHÀ NƯỚC THU HỒI ĐẤT TRÊN ĐỊA BÀN TỈNH SƠN LA</v>
      </c>
      <c r="B2" s="28"/>
      <c r="C2" s="28"/>
      <c r="D2" s="28"/>
      <c r="E2" s="796"/>
      <c r="F2" s="796"/>
    </row>
    <row r="3" spans="1:8" ht="22.15" customHeight="1">
      <c r="A3" s="8" t="str">
        <f>'Bia-TMDT'!C18&amp;'Bia-TMDT'!E18</f>
        <v>CÔNG TRÌNH: NHÀ 01 TẦNG, TƯỜNG CHỊU LỰC 110MM, MÁI LỢP FIBRÔXIMĂNG, KHÔNG CÓ KHU VỆ SINH KHÉP KÍN</v>
      </c>
      <c r="B3" s="28"/>
      <c r="C3" s="28"/>
      <c r="D3" s="28"/>
      <c r="E3" s="796"/>
      <c r="F3" s="796"/>
    </row>
    <row r="4" spans="1:8" ht="22.15" customHeight="1">
      <c r="A4" s="6" t="s">
        <v>800</v>
      </c>
      <c r="B4" s="179" t="s">
        <v>1319</v>
      </c>
      <c r="C4" s="1511">
        <f>'TMDT-SVDT'!I8</f>
        <v>0</v>
      </c>
      <c r="D4" s="28"/>
      <c r="E4" s="796"/>
      <c r="F4" s="796"/>
    </row>
    <row r="5" spans="1:8" ht="20.25">
      <c r="A5" s="327" t="s">
        <v>799</v>
      </c>
      <c r="B5" s="179" t="s">
        <v>804</v>
      </c>
      <c r="C5" s="325">
        <f>'TMDT-SVDT'!I9</f>
        <v>0</v>
      </c>
      <c r="D5" s="739"/>
      <c r="E5" s="221"/>
      <c r="F5" s="221"/>
    </row>
    <row r="6" spans="1:8" ht="20.25">
      <c r="A6" s="327" t="s">
        <v>801</v>
      </c>
      <c r="B6" s="179" t="s">
        <v>805</v>
      </c>
      <c r="C6" s="325">
        <f>'TMDT-SVDT'!I20</f>
        <v>0</v>
      </c>
      <c r="D6" s="221"/>
      <c r="E6" s="221"/>
      <c r="F6" s="221"/>
      <c r="G6" s="221"/>
      <c r="H6" s="324"/>
    </row>
    <row r="7" spans="1:8" ht="20.25">
      <c r="A7" s="327" t="s">
        <v>802</v>
      </c>
      <c r="B7" s="179" t="s">
        <v>806</v>
      </c>
      <c r="C7" s="325">
        <f>'TMDT-SVDT'!I36</f>
        <v>0</v>
      </c>
      <c r="D7" s="324"/>
      <c r="E7" s="324"/>
      <c r="F7" s="324"/>
      <c r="G7" s="221"/>
      <c r="H7" s="324"/>
    </row>
    <row r="8" spans="1:8" ht="20.25">
      <c r="A8" s="327" t="s">
        <v>803</v>
      </c>
      <c r="B8" s="179" t="s">
        <v>807</v>
      </c>
      <c r="C8" s="325">
        <f>'TMDT-SVDT'!I54</f>
        <v>0</v>
      </c>
      <c r="D8" s="324"/>
      <c r="E8" s="324"/>
      <c r="F8" s="324"/>
      <c r="G8" s="221"/>
      <c r="H8" s="324"/>
    </row>
    <row r="9" spans="1:8" ht="20.25">
      <c r="A9" s="327" t="s">
        <v>1318</v>
      </c>
      <c r="B9" s="179" t="s">
        <v>808</v>
      </c>
      <c r="C9" s="325">
        <f>'TMDT-SVDT'!I105</f>
        <v>0</v>
      </c>
      <c r="D9" s="221"/>
      <c r="E9" s="221"/>
      <c r="F9" s="221"/>
      <c r="G9" s="221"/>
      <c r="H9" s="324"/>
    </row>
    <row r="10" spans="1:8" ht="20.25">
      <c r="A10" s="324"/>
      <c r="B10" s="1180" t="s">
        <v>1320</v>
      </c>
      <c r="C10" s="1139">
        <f>SUM(C4:C9)</f>
        <v>0</v>
      </c>
      <c r="D10" s="221"/>
      <c r="E10" s="221"/>
      <c r="F10" s="221"/>
      <c r="G10" s="221"/>
      <c r="H10" s="324"/>
    </row>
    <row r="11" spans="1:8" ht="18.75">
      <c r="A11" s="113"/>
      <c r="B11" s="324"/>
      <c r="C11" s="324"/>
      <c r="D11" s="1140"/>
      <c r="E11" s="1140"/>
      <c r="F11" s="1140"/>
      <c r="G11" s="1140"/>
      <c r="H11" s="324"/>
    </row>
    <row r="12" spans="1:8" ht="19.899999999999999" customHeight="1">
      <c r="A12" s="1140" t="s">
        <v>1016</v>
      </c>
      <c r="B12" s="6"/>
      <c r="C12" s="8"/>
      <c r="D12" s="8"/>
      <c r="E12" s="8"/>
      <c r="F12" s="8"/>
      <c r="G12" s="8"/>
      <c r="H12" s="324"/>
    </row>
    <row r="13" spans="1:8" ht="19.899999999999999" customHeight="1">
      <c r="A13" s="1512"/>
      <c r="B13" s="179" t="s">
        <v>1321</v>
      </c>
      <c r="C13" s="8"/>
      <c r="D13" s="8"/>
      <c r="E13" s="8"/>
      <c r="F13" s="221"/>
      <c r="G13" s="221"/>
      <c r="H13" s="324"/>
    </row>
    <row r="14" spans="1:8" ht="19.899999999999999" customHeight="1">
      <c r="A14" s="1141"/>
      <c r="B14" s="179" t="s">
        <v>1322</v>
      </c>
      <c r="C14" s="8"/>
      <c r="D14" s="1143" t="s">
        <v>1323</v>
      </c>
      <c r="E14" s="1513">
        <v>0.1</v>
      </c>
      <c r="F14" s="221"/>
      <c r="G14" s="221"/>
      <c r="H14" s="324"/>
    </row>
    <row r="15" spans="1:8" ht="19.899999999999999" customHeight="1">
      <c r="A15" s="8"/>
      <c r="B15" s="1143" t="s">
        <v>1324</v>
      </c>
      <c r="C15" s="1142">
        <f>C10*E14</f>
        <v>0</v>
      </c>
      <c r="D15" s="324"/>
      <c r="E15" s="324"/>
      <c r="F15" s="221"/>
      <c r="G15" s="221"/>
      <c r="H15" s="324"/>
    </row>
    <row r="16" spans="1:8" ht="20.25">
      <c r="A16" s="1514" t="s">
        <v>1325</v>
      </c>
      <c r="B16" s="6"/>
      <c r="C16" s="8"/>
      <c r="D16" s="8"/>
      <c r="E16" s="8"/>
      <c r="F16" s="8"/>
      <c r="G16" s="8"/>
      <c r="H16" s="324"/>
    </row>
    <row r="17" spans="1:72" ht="24.75" customHeight="1">
      <c r="A17" s="1145"/>
      <c r="B17" s="790" t="s">
        <v>1018</v>
      </c>
      <c r="C17" s="8"/>
      <c r="D17" s="8"/>
      <c r="E17" s="324"/>
      <c r="F17" s="8"/>
      <c r="G17" s="324"/>
      <c r="H17" s="324"/>
    </row>
    <row r="18" spans="1:72" ht="20.100000000000001" customHeight="1">
      <c r="A18" s="739" t="s">
        <v>1019</v>
      </c>
      <c r="B18" s="6"/>
      <c r="C18" s="8"/>
      <c r="D18" s="8"/>
      <c r="E18" s="8"/>
      <c r="F18" s="8"/>
      <c r="G18" s="8"/>
      <c r="H18" s="324"/>
    </row>
    <row r="19" spans="1:72" ht="20.100000000000001" customHeight="1">
      <c r="A19" s="739" t="s">
        <v>1020</v>
      </c>
      <c r="B19" s="6"/>
      <c r="C19" s="8"/>
      <c r="D19" s="8"/>
      <c r="E19" s="8"/>
      <c r="F19" s="8"/>
      <c r="G19" s="8"/>
      <c r="H19" s="324"/>
    </row>
    <row r="20" spans="1:72" ht="24" customHeight="1">
      <c r="A20" s="739" t="s">
        <v>1021</v>
      </c>
      <c r="B20" s="221"/>
      <c r="C20" s="221"/>
      <c r="D20" s="8"/>
      <c r="E20" s="8"/>
      <c r="F20" s="221"/>
      <c r="G20" s="221"/>
      <c r="H20" s="324"/>
    </row>
    <row r="21" spans="1:72" s="324" customFormat="1" ht="20.100000000000001" customHeight="1">
      <c r="A21" s="739" t="s">
        <v>816</v>
      </c>
      <c r="B21" s="221"/>
      <c r="C21" s="221"/>
      <c r="D21" s="8"/>
      <c r="E21" s="8"/>
      <c r="F21" s="221"/>
    </row>
    <row r="22" spans="1:72" s="324" customFormat="1" ht="20.100000000000001" customHeight="1">
      <c r="A22" s="739"/>
      <c r="B22" s="221"/>
      <c r="C22" s="221"/>
      <c r="D22" s="8"/>
      <c r="E22" s="8"/>
      <c r="F22" s="221"/>
    </row>
    <row r="23" spans="1:72" s="324" customFormat="1" ht="26.45" customHeight="1">
      <c r="A23" s="739"/>
      <c r="B23" s="221"/>
      <c r="C23" s="221"/>
      <c r="D23" s="8"/>
      <c r="E23" s="8"/>
      <c r="F23" s="221"/>
    </row>
    <row r="24" spans="1:72" s="324" customFormat="1" ht="26.45" customHeight="1">
      <c r="A24" s="1177" t="s">
        <v>817</v>
      </c>
      <c r="B24" s="221"/>
      <c r="C24" s="221"/>
      <c r="D24" s="8"/>
      <c r="E24" s="8"/>
      <c r="F24" s="221"/>
    </row>
    <row r="25" spans="1:72" s="324" customFormat="1" ht="26.45" customHeight="1">
      <c r="A25" s="1178" t="s">
        <v>1022</v>
      </c>
      <c r="B25" s="221"/>
      <c r="C25" s="221"/>
      <c r="D25" s="8"/>
      <c r="E25" s="8"/>
      <c r="F25" s="221"/>
    </row>
    <row r="26" spans="1:72" s="324" customFormat="1" ht="26.45" customHeight="1">
      <c r="A26" s="1178" t="s">
        <v>818</v>
      </c>
      <c r="B26" s="221"/>
      <c r="C26" s="221"/>
      <c r="D26" s="8"/>
      <c r="E26" s="8"/>
      <c r="F26" s="221"/>
    </row>
    <row r="27" spans="1:72" s="324" customFormat="1" ht="26.45" customHeight="1">
      <c r="A27" s="1178" t="s">
        <v>819</v>
      </c>
      <c r="B27" s="221"/>
      <c r="C27" s="221"/>
      <c r="D27" s="8"/>
      <c r="E27" s="8"/>
      <c r="F27" s="221"/>
    </row>
    <row r="28" spans="1:72" ht="59.45" customHeight="1">
      <c r="A28" s="2515" t="s">
        <v>1023</v>
      </c>
      <c r="B28" s="2516"/>
      <c r="C28" s="2516"/>
      <c r="D28" s="2516"/>
      <c r="E28" s="2517"/>
      <c r="F28" s="1176">
        <v>0</v>
      </c>
      <c r="G28" s="324"/>
      <c r="H28" s="324"/>
    </row>
    <row r="29" spans="1:72" ht="28.5" customHeight="1">
      <c r="A29" s="221"/>
      <c r="B29" s="221"/>
      <c r="C29" s="221"/>
      <c r="D29" s="221"/>
      <c r="E29" s="221"/>
      <c r="F29" s="221"/>
      <c r="G29" s="221"/>
      <c r="H29" s="324"/>
    </row>
    <row r="30" spans="1:72" ht="20.100000000000001" customHeight="1">
      <c r="A30" s="8" t="s">
        <v>56</v>
      </c>
      <c r="B30" s="6"/>
      <c r="C30" s="8"/>
      <c r="D30" s="8"/>
      <c r="E30" s="8"/>
      <c r="F30" s="8"/>
      <c r="G30" s="8"/>
      <c r="H30" s="324"/>
    </row>
    <row r="31" spans="1:72" ht="20.100000000000001" customHeight="1">
      <c r="A31" s="2518" t="s">
        <v>196</v>
      </c>
      <c r="B31" s="2518" t="s">
        <v>57</v>
      </c>
      <c r="C31" s="1146" t="s">
        <v>835</v>
      </c>
      <c r="D31" s="1146"/>
      <c r="E31" s="1146"/>
      <c r="F31" s="327"/>
      <c r="G31" s="327"/>
      <c r="H31" s="327"/>
      <c r="I31" s="536"/>
      <c r="J31" s="536"/>
      <c r="K31" s="536"/>
      <c r="L31" s="536"/>
      <c r="M31" s="536"/>
      <c r="N31" s="536"/>
      <c r="O31" s="536"/>
      <c r="P31" s="536"/>
      <c r="Q31" s="536"/>
      <c r="R31" s="536"/>
      <c r="S31" s="536"/>
      <c r="T31" s="536"/>
      <c r="U31" s="536"/>
      <c r="V31" s="536"/>
      <c r="W31" s="536"/>
      <c r="X31" s="536"/>
      <c r="Y31" s="536"/>
      <c r="Z31" s="536"/>
      <c r="AA31" s="536"/>
      <c r="AB31" s="536"/>
      <c r="AC31" s="536"/>
      <c r="AD31" s="536"/>
      <c r="AE31" s="536"/>
      <c r="AF31" s="536"/>
      <c r="AG31" s="536"/>
      <c r="AH31" s="536"/>
      <c r="AI31" s="536"/>
      <c r="AJ31" s="536"/>
      <c r="AK31" s="536"/>
      <c r="AL31" s="536"/>
      <c r="AM31" s="536"/>
      <c r="AN31" s="536"/>
      <c r="AO31" s="536"/>
      <c r="AP31" s="536"/>
      <c r="AQ31" s="536"/>
      <c r="AR31" s="536"/>
      <c r="AS31" s="536"/>
      <c r="AT31" s="536"/>
      <c r="AU31" s="536"/>
      <c r="AV31" s="536"/>
      <c r="AW31" s="536"/>
      <c r="AX31" s="536"/>
      <c r="AY31" s="536"/>
      <c r="AZ31" s="536"/>
      <c r="BA31" s="536"/>
      <c r="BB31" s="536"/>
      <c r="BC31" s="536"/>
      <c r="BD31" s="536"/>
      <c r="BE31" s="536"/>
      <c r="BF31" s="536"/>
      <c r="BG31" s="536"/>
      <c r="BH31" s="536"/>
      <c r="BI31" s="536"/>
      <c r="BJ31" s="536"/>
      <c r="BK31" s="536"/>
      <c r="BL31" s="536"/>
      <c r="BM31" s="536"/>
      <c r="BN31" s="536"/>
      <c r="BO31" s="536"/>
      <c r="BP31" s="536"/>
      <c r="BQ31" s="536"/>
      <c r="BR31" s="536"/>
      <c r="BS31" s="536"/>
      <c r="BT31" s="536"/>
    </row>
    <row r="32" spans="1:72" ht="20.100000000000001" customHeight="1">
      <c r="A32" s="2518"/>
      <c r="B32" s="2518"/>
      <c r="C32" s="1147">
        <v>1</v>
      </c>
      <c r="D32" s="1147">
        <v>2</v>
      </c>
      <c r="E32" s="1147">
        <v>3</v>
      </c>
      <c r="F32" s="1148">
        <v>3</v>
      </c>
      <c r="G32" s="8"/>
      <c r="I32" s="536"/>
      <c r="J32" s="536"/>
      <c r="K32" s="536"/>
      <c r="L32" s="536"/>
      <c r="M32" s="536"/>
      <c r="N32" s="536"/>
      <c r="O32" s="536"/>
      <c r="P32" s="536"/>
      <c r="Q32" s="536"/>
      <c r="R32" s="536"/>
      <c r="S32" s="536"/>
      <c r="T32" s="536"/>
      <c r="U32" s="536"/>
      <c r="V32" s="536"/>
      <c r="W32" s="536"/>
      <c r="X32" s="536"/>
      <c r="Y32" s="536"/>
      <c r="Z32" s="536"/>
      <c r="AA32" s="536"/>
      <c r="AB32" s="536"/>
      <c r="AC32" s="536"/>
      <c r="AD32" s="536"/>
      <c r="AE32" s="536"/>
      <c r="AF32" s="536"/>
      <c r="AG32" s="536"/>
      <c r="AH32" s="536"/>
      <c r="AI32" s="536"/>
      <c r="AJ32" s="536"/>
      <c r="AK32" s="536"/>
      <c r="AL32" s="536"/>
      <c r="AM32" s="536"/>
      <c r="AN32" s="536"/>
      <c r="AO32" s="536"/>
      <c r="AP32" s="536"/>
      <c r="AQ32" s="536"/>
      <c r="AR32" s="536"/>
      <c r="AS32" s="536"/>
      <c r="AT32" s="536"/>
      <c r="AU32" s="536"/>
      <c r="AV32" s="536"/>
      <c r="AW32" s="536"/>
      <c r="AX32" s="536"/>
      <c r="AY32" s="536"/>
      <c r="AZ32" s="536"/>
      <c r="BA32" s="536"/>
      <c r="BB32" s="536"/>
      <c r="BC32" s="536"/>
      <c r="BD32" s="536"/>
      <c r="BE32" s="536"/>
      <c r="BF32" s="536"/>
      <c r="BG32" s="536"/>
      <c r="BH32" s="536"/>
      <c r="BI32" s="536"/>
      <c r="BJ32" s="536"/>
      <c r="BK32" s="536"/>
      <c r="BL32" s="536"/>
      <c r="BM32" s="536"/>
      <c r="BN32" s="536"/>
      <c r="BO32" s="536"/>
      <c r="BP32" s="536"/>
      <c r="BQ32" s="536"/>
      <c r="BR32" s="536"/>
      <c r="BS32" s="536"/>
      <c r="BT32" s="536"/>
    </row>
    <row r="33" spans="1:72" ht="20.100000000000001" customHeight="1">
      <c r="A33" s="1149">
        <v>1</v>
      </c>
      <c r="B33" s="1150" t="s">
        <v>58</v>
      </c>
      <c r="C33" s="1151">
        <v>0</v>
      </c>
      <c r="D33" s="1151">
        <v>0</v>
      </c>
      <c r="E33" s="1151">
        <v>0</v>
      </c>
      <c r="F33" s="8"/>
      <c r="G33" s="8"/>
      <c r="H33" s="327"/>
      <c r="I33" s="536"/>
      <c r="J33" s="536"/>
      <c r="K33" s="536"/>
      <c r="L33" s="536"/>
      <c r="M33" s="536"/>
      <c r="N33" s="536"/>
      <c r="O33" s="536"/>
      <c r="P33" s="536"/>
      <c r="Q33" s="536"/>
      <c r="R33" s="536"/>
      <c r="S33" s="536"/>
      <c r="T33" s="536"/>
      <c r="U33" s="536"/>
      <c r="V33" s="536"/>
      <c r="W33" s="536"/>
      <c r="X33" s="536"/>
      <c r="Y33" s="536"/>
      <c r="Z33" s="536"/>
      <c r="AA33" s="536"/>
      <c r="AB33" s="536"/>
      <c r="AC33" s="536"/>
      <c r="AD33" s="536"/>
      <c r="AE33" s="536"/>
      <c r="AF33" s="536"/>
      <c r="AG33" s="536"/>
      <c r="AH33" s="536"/>
      <c r="AI33" s="536"/>
      <c r="AJ33" s="536"/>
      <c r="AK33" s="536"/>
      <c r="AL33" s="536"/>
      <c r="AM33" s="536"/>
      <c r="AN33" s="536"/>
      <c r="AO33" s="536"/>
      <c r="AP33" s="536"/>
      <c r="AQ33" s="536"/>
      <c r="AR33" s="536"/>
      <c r="AS33" s="536"/>
      <c r="AT33" s="536"/>
      <c r="AU33" s="536"/>
      <c r="AV33" s="536"/>
      <c r="AW33" s="536"/>
      <c r="AX33" s="536"/>
      <c r="AY33" s="536"/>
      <c r="AZ33" s="536"/>
      <c r="BA33" s="536"/>
      <c r="BB33" s="536"/>
      <c r="BC33" s="536"/>
      <c r="BD33" s="536"/>
      <c r="BE33" s="536"/>
      <c r="BF33" s="536"/>
      <c r="BG33" s="536"/>
      <c r="BH33" s="536"/>
      <c r="BI33" s="536"/>
      <c r="BJ33" s="536"/>
      <c r="BK33" s="536"/>
      <c r="BL33" s="536"/>
      <c r="BM33" s="536"/>
      <c r="BN33" s="536"/>
      <c r="BO33" s="536"/>
      <c r="BP33" s="536"/>
      <c r="BQ33" s="536"/>
      <c r="BR33" s="536"/>
      <c r="BS33" s="536"/>
      <c r="BT33" s="536"/>
    </row>
    <row r="34" spans="1:72" ht="20.100000000000001" customHeight="1">
      <c r="A34" s="1149">
        <v>2</v>
      </c>
      <c r="B34" s="1150" t="s">
        <v>59</v>
      </c>
      <c r="C34" s="1152">
        <f>C33*$C$10</f>
        <v>0</v>
      </c>
      <c r="D34" s="1152">
        <f>D33*$C$10</f>
        <v>0</v>
      </c>
      <c r="E34" s="1152">
        <f>E33*$C$10</f>
        <v>0</v>
      </c>
      <c r="F34" s="8"/>
      <c r="G34" s="8"/>
      <c r="H34" s="327"/>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c r="AK34" s="536"/>
      <c r="AL34" s="536"/>
      <c r="AM34" s="536"/>
      <c r="AN34" s="536"/>
      <c r="AO34" s="536"/>
      <c r="AP34" s="536"/>
      <c r="AQ34" s="536"/>
      <c r="AR34" s="536"/>
      <c r="AS34" s="536"/>
      <c r="AT34" s="536"/>
      <c r="AU34" s="536"/>
      <c r="AV34" s="536"/>
      <c r="AW34" s="536"/>
      <c r="AX34" s="536"/>
      <c r="AY34" s="536"/>
      <c r="AZ34" s="536"/>
      <c r="BA34" s="536"/>
      <c r="BB34" s="536"/>
      <c r="BC34" s="536"/>
      <c r="BD34" s="536"/>
      <c r="BE34" s="536"/>
      <c r="BF34" s="536"/>
      <c r="BG34" s="536"/>
      <c r="BH34" s="536"/>
      <c r="BI34" s="536"/>
      <c r="BJ34" s="536"/>
      <c r="BK34" s="536"/>
      <c r="BL34" s="536"/>
      <c r="BM34" s="536"/>
      <c r="BN34" s="536"/>
      <c r="BO34" s="536"/>
      <c r="BP34" s="536"/>
      <c r="BQ34" s="536"/>
      <c r="BR34" s="536"/>
      <c r="BS34" s="536"/>
      <c r="BT34" s="536"/>
    </row>
    <row r="35" spans="1:72" ht="20.100000000000001" customHeight="1">
      <c r="A35" s="1149">
        <v>3</v>
      </c>
      <c r="B35" s="1150" t="s">
        <v>1326</v>
      </c>
      <c r="C35" s="1152"/>
      <c r="D35" s="1152"/>
      <c r="E35" s="1152"/>
      <c r="F35" s="8"/>
      <c r="G35" s="8"/>
      <c r="H35" s="327"/>
      <c r="I35" s="536"/>
      <c r="J35" s="536"/>
      <c r="K35" s="536"/>
      <c r="L35" s="536"/>
      <c r="M35" s="536"/>
      <c r="N35" s="536"/>
      <c r="O35" s="536"/>
      <c r="P35" s="536"/>
      <c r="Q35" s="536"/>
      <c r="R35" s="536"/>
      <c r="S35" s="536"/>
      <c r="T35" s="536"/>
      <c r="U35" s="536"/>
      <c r="V35" s="536"/>
      <c r="W35" s="536"/>
      <c r="X35" s="536"/>
      <c r="Y35" s="536"/>
      <c r="Z35" s="536"/>
      <c r="AA35" s="536"/>
      <c r="AB35" s="536"/>
      <c r="AC35" s="536"/>
      <c r="AD35" s="536"/>
      <c r="AE35" s="536"/>
      <c r="AF35" s="536"/>
      <c r="AG35" s="536"/>
      <c r="AH35" s="536"/>
      <c r="AI35" s="536"/>
      <c r="AJ35" s="536"/>
      <c r="AK35" s="536"/>
      <c r="AL35" s="536"/>
      <c r="AM35" s="536"/>
      <c r="AN35" s="536"/>
      <c r="AO35" s="536"/>
      <c r="AP35" s="536"/>
      <c r="AQ35" s="536"/>
      <c r="AR35" s="536"/>
      <c r="AS35" s="536"/>
      <c r="AT35" s="536"/>
      <c r="AU35" s="536"/>
      <c r="AV35" s="536"/>
      <c r="AW35" s="536"/>
      <c r="AX35" s="536"/>
      <c r="AY35" s="536"/>
      <c r="AZ35" s="536"/>
      <c r="BA35" s="536"/>
      <c r="BB35" s="536"/>
      <c r="BC35" s="536"/>
      <c r="BD35" s="536"/>
      <c r="BE35" s="536"/>
      <c r="BF35" s="536"/>
      <c r="BG35" s="536"/>
      <c r="BH35" s="536"/>
      <c r="BI35" s="536"/>
      <c r="BJ35" s="536"/>
      <c r="BK35" s="536"/>
      <c r="BL35" s="536"/>
      <c r="BM35" s="536"/>
      <c r="BN35" s="536"/>
      <c r="BO35" s="536"/>
      <c r="BP35" s="536"/>
      <c r="BQ35" s="536"/>
      <c r="BR35" s="536"/>
      <c r="BS35" s="536"/>
      <c r="BT35" s="536"/>
    </row>
    <row r="36" spans="1:72" ht="18.75">
      <c r="A36" s="221"/>
      <c r="B36" s="221"/>
      <c r="C36" s="221"/>
      <c r="D36" s="221"/>
      <c r="E36" s="221"/>
      <c r="F36" s="221"/>
      <c r="G36" s="221"/>
      <c r="H36" s="327"/>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c r="AK36" s="536"/>
      <c r="AL36" s="536"/>
      <c r="AM36" s="536"/>
      <c r="AN36" s="536"/>
      <c r="AO36" s="536"/>
      <c r="AP36" s="536"/>
      <c r="AQ36" s="536"/>
      <c r="AR36" s="536"/>
      <c r="AS36" s="536"/>
      <c r="AT36" s="536"/>
      <c r="AU36" s="536"/>
      <c r="AV36" s="536"/>
      <c r="AW36" s="536"/>
      <c r="AX36" s="536"/>
      <c r="AY36" s="536"/>
      <c r="AZ36" s="536"/>
      <c r="BA36" s="536"/>
      <c r="BB36" s="536"/>
      <c r="BC36" s="536"/>
      <c r="BD36" s="536"/>
      <c r="BE36" s="536"/>
      <c r="BF36" s="536"/>
      <c r="BG36" s="536"/>
      <c r="BH36" s="536"/>
      <c r="BI36" s="536"/>
      <c r="BJ36" s="536"/>
      <c r="BK36" s="536"/>
      <c r="BL36" s="536"/>
      <c r="BM36" s="536"/>
      <c r="BN36" s="536"/>
      <c r="BO36" s="536"/>
      <c r="BP36" s="536"/>
      <c r="BQ36" s="536"/>
      <c r="BR36" s="536"/>
      <c r="BS36" s="536"/>
      <c r="BT36" s="536"/>
    </row>
    <row r="37" spans="1:72" ht="20.100000000000001" customHeight="1">
      <c r="A37" s="1153" t="s">
        <v>610</v>
      </c>
      <c r="B37" s="6"/>
      <c r="C37" s="8"/>
      <c r="D37" s="8"/>
      <c r="E37" s="8"/>
      <c r="F37" s="8"/>
      <c r="G37" s="221"/>
      <c r="H37" s="327"/>
      <c r="I37" s="536"/>
      <c r="J37" s="536"/>
      <c r="K37" s="536"/>
      <c r="L37" s="536"/>
      <c r="M37" s="536"/>
      <c r="N37" s="536"/>
      <c r="O37" s="536"/>
      <c r="P37" s="536"/>
      <c r="Q37" s="536"/>
      <c r="R37" s="536"/>
      <c r="S37" s="536"/>
      <c r="T37" s="536"/>
      <c r="U37" s="536"/>
      <c r="V37" s="536"/>
      <c r="W37" s="536"/>
      <c r="X37" s="536"/>
      <c r="Y37" s="536"/>
      <c r="Z37" s="536"/>
      <c r="AA37" s="536"/>
      <c r="AB37" s="536"/>
      <c r="AC37" s="536"/>
      <c r="AD37" s="536"/>
      <c r="AE37" s="536"/>
      <c r="AF37" s="536"/>
      <c r="AG37" s="536"/>
      <c r="AH37" s="536"/>
      <c r="AI37" s="536"/>
      <c r="AJ37" s="536"/>
      <c r="AK37" s="536"/>
      <c r="AL37" s="536"/>
      <c r="AM37" s="536"/>
      <c r="AN37" s="536"/>
      <c r="AO37" s="536"/>
      <c r="AP37" s="536"/>
      <c r="AQ37" s="536"/>
      <c r="AR37" s="536"/>
      <c r="AS37" s="536"/>
      <c r="AT37" s="536"/>
      <c r="AU37" s="536"/>
      <c r="AV37" s="536"/>
      <c r="AW37" s="536"/>
      <c r="AX37" s="536"/>
      <c r="AY37" s="536"/>
      <c r="AZ37" s="536"/>
      <c r="BA37" s="536"/>
      <c r="BB37" s="536"/>
      <c r="BC37" s="536"/>
      <c r="BD37" s="536"/>
      <c r="BE37" s="536"/>
      <c r="BF37" s="536"/>
      <c r="BG37" s="536"/>
      <c r="BH37" s="536"/>
      <c r="BI37" s="536"/>
      <c r="BJ37" s="536"/>
      <c r="BK37" s="536"/>
      <c r="BL37" s="536"/>
      <c r="BM37" s="536"/>
      <c r="BN37" s="536"/>
      <c r="BO37" s="536"/>
      <c r="BP37" s="536"/>
      <c r="BQ37" s="536"/>
      <c r="BR37" s="536"/>
      <c r="BS37" s="536"/>
      <c r="BT37" s="536"/>
    </row>
    <row r="38" spans="1:72" ht="20.100000000000001" customHeight="1">
      <c r="A38" s="2512" t="s">
        <v>196</v>
      </c>
      <c r="B38" s="2512" t="s">
        <v>60</v>
      </c>
      <c r="C38" s="1146" t="s">
        <v>865</v>
      </c>
      <c r="D38" s="1146"/>
      <c r="E38" s="1146"/>
      <c r="F38" s="1146"/>
      <c r="G38" s="221"/>
      <c r="H38" s="327"/>
      <c r="I38" s="536"/>
      <c r="J38" s="536"/>
      <c r="K38" s="536"/>
      <c r="L38" s="536"/>
      <c r="M38" s="536"/>
      <c r="N38" s="536"/>
      <c r="O38" s="536"/>
      <c r="P38" s="536"/>
      <c r="Q38" s="536"/>
      <c r="R38" s="536"/>
      <c r="S38" s="536"/>
      <c r="T38" s="536"/>
      <c r="U38" s="536"/>
      <c r="V38" s="536"/>
      <c r="W38" s="536"/>
      <c r="X38" s="536"/>
      <c r="Y38" s="536"/>
      <c r="Z38" s="536"/>
      <c r="AA38" s="536"/>
      <c r="AB38" s="536"/>
      <c r="AC38" s="536"/>
      <c r="AD38" s="536"/>
      <c r="AE38" s="536"/>
      <c r="AF38" s="536"/>
      <c r="AG38" s="536"/>
      <c r="AH38" s="536"/>
      <c r="AI38" s="536"/>
      <c r="AJ38" s="536"/>
      <c r="AK38" s="536"/>
      <c r="AL38" s="536"/>
      <c r="AM38" s="536"/>
      <c r="AN38" s="536"/>
      <c r="AO38" s="536"/>
      <c r="AP38" s="536"/>
      <c r="AQ38" s="536"/>
      <c r="AR38" s="536"/>
      <c r="AS38" s="536"/>
      <c r="AT38" s="536"/>
      <c r="AU38" s="536"/>
      <c r="AV38" s="536"/>
      <c r="AW38" s="536"/>
      <c r="AX38" s="536"/>
      <c r="AY38" s="536"/>
      <c r="AZ38" s="536"/>
      <c r="BA38" s="536"/>
      <c r="BB38" s="536"/>
      <c r="BC38" s="536"/>
      <c r="BD38" s="536"/>
      <c r="BE38" s="536"/>
      <c r="BF38" s="536"/>
      <c r="BG38" s="536"/>
      <c r="BH38" s="536"/>
      <c r="BI38" s="536"/>
      <c r="BJ38" s="536"/>
      <c r="BK38" s="536"/>
      <c r="BL38" s="536"/>
      <c r="BM38" s="536"/>
      <c r="BN38" s="536"/>
      <c r="BO38" s="536"/>
      <c r="BP38" s="536"/>
      <c r="BQ38" s="536"/>
      <c r="BR38" s="536"/>
      <c r="BS38" s="536"/>
      <c r="BT38" s="536"/>
    </row>
    <row r="39" spans="1:72" ht="20.100000000000001" customHeight="1">
      <c r="A39" s="2513"/>
      <c r="B39" s="2513"/>
      <c r="C39" s="1154">
        <v>2017</v>
      </c>
      <c r="D39" s="1154">
        <v>2018</v>
      </c>
      <c r="E39" s="1154">
        <v>2019</v>
      </c>
      <c r="F39" s="1154">
        <v>2020</v>
      </c>
      <c r="G39" s="1148">
        <v>4</v>
      </c>
      <c r="I39" s="536"/>
      <c r="J39" s="536"/>
      <c r="K39" s="536"/>
      <c r="L39" s="536"/>
      <c r="M39" s="536"/>
      <c r="N39" s="536"/>
      <c r="O39" s="536"/>
      <c r="P39" s="536"/>
      <c r="Q39" s="536"/>
      <c r="R39" s="536"/>
      <c r="S39" s="536"/>
      <c r="T39" s="536"/>
      <c r="U39" s="536"/>
      <c r="V39" s="536"/>
      <c r="W39" s="536"/>
      <c r="X39" s="536"/>
      <c r="Y39" s="536"/>
      <c r="Z39" s="536"/>
      <c r="AA39" s="536"/>
      <c r="AB39" s="536"/>
      <c r="AC39" s="536"/>
      <c r="AD39" s="536"/>
      <c r="AE39" s="536"/>
      <c r="AF39" s="536"/>
      <c r="AG39" s="536"/>
      <c r="AH39" s="536"/>
      <c r="AI39" s="536"/>
      <c r="AJ39" s="536"/>
      <c r="AK39" s="536"/>
      <c r="AL39" s="536"/>
      <c r="AM39" s="536"/>
      <c r="AN39" s="536"/>
      <c r="AO39" s="536"/>
      <c r="AP39" s="536"/>
      <c r="AQ39" s="536"/>
      <c r="AR39" s="536"/>
      <c r="AS39" s="536"/>
      <c r="AT39" s="536"/>
      <c r="AU39" s="536"/>
      <c r="AV39" s="536"/>
      <c r="AW39" s="536"/>
      <c r="AX39" s="536"/>
      <c r="AY39" s="536"/>
      <c r="AZ39" s="536"/>
      <c r="BA39" s="536"/>
      <c r="BB39" s="536"/>
      <c r="BC39" s="536"/>
      <c r="BD39" s="536"/>
      <c r="BE39" s="536"/>
      <c r="BF39" s="536"/>
      <c r="BG39" s="536"/>
      <c r="BH39" s="536"/>
      <c r="BI39" s="536"/>
      <c r="BJ39" s="536"/>
      <c r="BK39" s="536"/>
      <c r="BL39" s="536"/>
      <c r="BM39" s="536"/>
      <c r="BN39" s="536"/>
      <c r="BO39" s="536"/>
      <c r="BP39" s="536"/>
      <c r="BQ39" s="536"/>
      <c r="BR39" s="536"/>
      <c r="BS39" s="536"/>
      <c r="BT39" s="536"/>
    </row>
    <row r="40" spans="1:72" ht="37.5">
      <c r="A40" s="1155">
        <v>1</v>
      </c>
      <c r="B40" s="1156" t="s">
        <v>324</v>
      </c>
      <c r="C40" s="1155">
        <v>139</v>
      </c>
      <c r="D40" s="1155">
        <v>140</v>
      </c>
      <c r="E40" s="1155">
        <v>141</v>
      </c>
      <c r="F40" s="1155">
        <v>142</v>
      </c>
      <c r="G40" s="221"/>
      <c r="H40" s="327"/>
      <c r="I40" s="536"/>
      <c r="J40" s="536"/>
      <c r="K40" s="536"/>
      <c r="L40" s="536"/>
      <c r="M40" s="536"/>
      <c r="N40" s="536"/>
      <c r="O40" s="536"/>
      <c r="P40" s="536"/>
      <c r="Q40" s="536"/>
      <c r="R40" s="536"/>
      <c r="S40" s="536"/>
      <c r="T40" s="536"/>
      <c r="U40" s="536"/>
      <c r="V40" s="536"/>
      <c r="W40" s="536"/>
      <c r="X40" s="536"/>
      <c r="Y40" s="536"/>
      <c r="Z40" s="536"/>
      <c r="AA40" s="536"/>
      <c r="AB40" s="536"/>
      <c r="AC40" s="536"/>
      <c r="AD40" s="536"/>
      <c r="AE40" s="536"/>
      <c r="AF40" s="536"/>
      <c r="AG40" s="536"/>
      <c r="AH40" s="536"/>
      <c r="AI40" s="536"/>
      <c r="AJ40" s="536"/>
      <c r="AK40" s="536"/>
      <c r="AL40" s="536"/>
      <c r="AM40" s="536"/>
      <c r="AN40" s="536"/>
      <c r="AO40" s="536"/>
      <c r="AP40" s="536"/>
      <c r="AQ40" s="536"/>
      <c r="AR40" s="536"/>
      <c r="AS40" s="536"/>
      <c r="AT40" s="536"/>
      <c r="AU40" s="536"/>
      <c r="AV40" s="536"/>
      <c r="AW40" s="536"/>
      <c r="AX40" s="536"/>
      <c r="AY40" s="536"/>
      <c r="AZ40" s="536"/>
      <c r="BA40" s="536"/>
      <c r="BB40" s="536"/>
      <c r="BC40" s="536"/>
      <c r="BD40" s="536"/>
      <c r="BE40" s="536"/>
      <c r="BF40" s="536"/>
      <c r="BG40" s="536"/>
      <c r="BH40" s="536"/>
      <c r="BI40" s="536"/>
      <c r="BJ40" s="536"/>
      <c r="BK40" s="536"/>
      <c r="BL40" s="536"/>
      <c r="BM40" s="536"/>
      <c r="BN40" s="536"/>
      <c r="BO40" s="536"/>
      <c r="BP40" s="536"/>
      <c r="BQ40" s="536"/>
      <c r="BR40" s="536"/>
      <c r="BS40" s="536"/>
      <c r="BT40" s="536"/>
    </row>
    <row r="41" spans="1:72" ht="37.5">
      <c r="A41" s="1157">
        <v>2</v>
      </c>
      <c r="B41" s="1158" t="s">
        <v>815</v>
      </c>
      <c r="C41" s="1157"/>
      <c r="D41" s="1159">
        <f>D40/C40</f>
        <v>1.0071942446043165</v>
      </c>
      <c r="E41" s="1159">
        <f>E40/D40</f>
        <v>1.0071428571428571</v>
      </c>
      <c r="F41" s="1159">
        <f>F40/E40</f>
        <v>1.0070921985815602</v>
      </c>
      <c r="G41" s="221"/>
      <c r="H41" s="327"/>
      <c r="I41" s="536"/>
      <c r="J41" s="536"/>
      <c r="K41" s="536"/>
      <c r="L41" s="536"/>
      <c r="M41" s="536"/>
      <c r="N41" s="536"/>
      <c r="O41" s="536"/>
      <c r="P41" s="536"/>
      <c r="Q41" s="536"/>
      <c r="R41" s="536"/>
      <c r="S41" s="536"/>
      <c r="T41" s="536"/>
      <c r="U41" s="536"/>
      <c r="V41" s="536"/>
      <c r="W41" s="536"/>
      <c r="X41" s="536"/>
      <c r="Y41" s="536"/>
      <c r="Z41" s="536"/>
      <c r="AA41" s="536"/>
      <c r="AB41" s="536"/>
      <c r="AC41" s="536"/>
      <c r="AD41" s="536"/>
      <c r="AE41" s="536"/>
      <c r="AF41" s="536"/>
      <c r="AG41" s="536"/>
      <c r="AH41" s="536"/>
      <c r="AI41" s="536"/>
      <c r="AJ41" s="536"/>
      <c r="AK41" s="536"/>
      <c r="AL41" s="536"/>
      <c r="AM41" s="536"/>
      <c r="AN41" s="536"/>
      <c r="AO41" s="536"/>
      <c r="AP41" s="536"/>
      <c r="AQ41" s="536"/>
      <c r="AR41" s="536"/>
      <c r="AS41" s="536"/>
      <c r="AT41" s="536"/>
      <c r="AU41" s="536"/>
      <c r="AV41" s="536"/>
      <c r="AW41" s="536"/>
      <c r="AX41" s="536"/>
      <c r="AY41" s="536"/>
      <c r="AZ41" s="536"/>
      <c r="BA41" s="536"/>
      <c r="BB41" s="536"/>
      <c r="BC41" s="536"/>
      <c r="BD41" s="536"/>
      <c r="BE41" s="536"/>
      <c r="BF41" s="536"/>
      <c r="BG41" s="536"/>
      <c r="BH41" s="536"/>
      <c r="BI41" s="536"/>
      <c r="BJ41" s="536"/>
      <c r="BK41" s="536"/>
      <c r="BL41" s="536"/>
      <c r="BM41" s="536"/>
      <c r="BN41" s="536"/>
      <c r="BO41" s="536"/>
      <c r="BP41" s="536"/>
      <c r="BQ41" s="536"/>
      <c r="BR41" s="536"/>
      <c r="BS41" s="536"/>
      <c r="BT41" s="536"/>
    </row>
    <row r="42" spans="1:72" ht="39">
      <c r="A42" s="1160">
        <v>3</v>
      </c>
      <c r="B42" s="1161" t="s">
        <v>823</v>
      </c>
      <c r="C42" s="1162"/>
      <c r="D42" s="1162"/>
      <c r="E42" s="1162"/>
      <c r="F42" s="1163">
        <f>ROUND(AVERAGE(D41:F41),3)</f>
        <v>1.0069999999999999</v>
      </c>
      <c r="G42" s="221"/>
      <c r="H42" s="327"/>
      <c r="I42" s="536"/>
      <c r="J42" s="536"/>
      <c r="K42" s="536"/>
      <c r="L42" s="536"/>
      <c r="M42" s="536"/>
      <c r="N42" s="536"/>
      <c r="O42" s="536"/>
      <c r="P42" s="536"/>
      <c r="Q42" s="536"/>
      <c r="R42" s="536"/>
      <c r="S42" s="536"/>
      <c r="T42" s="536"/>
      <c r="U42" s="536"/>
      <c r="V42" s="536"/>
      <c r="W42" s="536"/>
      <c r="X42" s="536"/>
      <c r="Y42" s="536"/>
      <c r="Z42" s="536"/>
      <c r="AA42" s="536"/>
      <c r="AB42" s="536"/>
      <c r="AC42" s="536"/>
      <c r="AD42" s="536"/>
      <c r="AE42" s="536"/>
      <c r="AF42" s="536"/>
      <c r="AG42" s="536"/>
      <c r="AH42" s="536"/>
      <c r="AI42" s="536"/>
      <c r="AJ42" s="536"/>
      <c r="AK42" s="536"/>
      <c r="AL42" s="536"/>
      <c r="AM42" s="536"/>
      <c r="AN42" s="536"/>
      <c r="AO42" s="536"/>
      <c r="AP42" s="536"/>
      <c r="AQ42" s="536"/>
      <c r="AR42" s="536"/>
      <c r="AS42" s="536"/>
      <c r="AT42" s="536"/>
      <c r="AU42" s="536"/>
      <c r="AV42" s="536"/>
      <c r="AW42" s="536"/>
      <c r="AX42" s="536"/>
      <c r="AY42" s="536"/>
      <c r="AZ42" s="536"/>
      <c r="BA42" s="536"/>
      <c r="BB42" s="536"/>
      <c r="BC42" s="536"/>
      <c r="BD42" s="536"/>
      <c r="BE42" s="536"/>
      <c r="BF42" s="536"/>
      <c r="BG42" s="536"/>
      <c r="BH42" s="536"/>
      <c r="BI42" s="536"/>
      <c r="BJ42" s="536"/>
      <c r="BK42" s="536"/>
      <c r="BL42" s="536"/>
      <c r="BM42" s="536"/>
      <c r="BN42" s="536"/>
      <c r="BO42" s="536"/>
      <c r="BP42" s="536"/>
      <c r="BQ42" s="536"/>
      <c r="BR42" s="536"/>
      <c r="BS42" s="536"/>
      <c r="BT42" s="536"/>
    </row>
    <row r="43" spans="1:72" ht="18.75">
      <c r="A43" s="221"/>
      <c r="B43" s="221"/>
      <c r="C43" s="221"/>
      <c r="D43" s="221"/>
      <c r="E43" s="221"/>
      <c r="F43" s="221"/>
      <c r="G43" s="221"/>
      <c r="H43" s="327"/>
      <c r="I43" s="536"/>
      <c r="J43" s="536"/>
      <c r="K43" s="536"/>
      <c r="L43" s="536"/>
      <c r="M43" s="536"/>
      <c r="N43" s="536"/>
      <c r="O43" s="536"/>
      <c r="P43" s="536"/>
      <c r="Q43" s="536"/>
      <c r="R43" s="536"/>
      <c r="S43" s="536"/>
      <c r="T43" s="536"/>
      <c r="U43" s="536"/>
      <c r="V43" s="536"/>
      <c r="W43" s="536"/>
      <c r="X43" s="536"/>
      <c r="Y43" s="536"/>
      <c r="Z43" s="536"/>
      <c r="AA43" s="536"/>
      <c r="AB43" s="536"/>
      <c r="AC43" s="536"/>
      <c r="AD43" s="536"/>
      <c r="AE43" s="536"/>
      <c r="AF43" s="536"/>
      <c r="AG43" s="536"/>
      <c r="AH43" s="536"/>
      <c r="AI43" s="536"/>
      <c r="AJ43" s="536"/>
      <c r="AK43" s="536"/>
      <c r="AL43" s="536"/>
      <c r="AM43" s="536"/>
      <c r="AN43" s="536"/>
      <c r="AO43" s="536"/>
      <c r="AP43" s="536"/>
      <c r="AQ43" s="536"/>
      <c r="AR43" s="536"/>
      <c r="AS43" s="536"/>
      <c r="AT43" s="536"/>
      <c r="AU43" s="536"/>
      <c r="AV43" s="536"/>
      <c r="AW43" s="536"/>
      <c r="AX43" s="536"/>
      <c r="AY43" s="536"/>
      <c r="AZ43" s="536"/>
      <c r="BA43" s="536"/>
      <c r="BB43" s="536"/>
      <c r="BC43" s="536"/>
      <c r="BD43" s="536"/>
      <c r="BE43" s="536"/>
      <c r="BF43" s="536"/>
      <c r="BG43" s="536"/>
      <c r="BH43" s="536"/>
      <c r="BI43" s="536"/>
      <c r="BJ43" s="536"/>
      <c r="BK43" s="536"/>
      <c r="BL43" s="536"/>
      <c r="BM43" s="536"/>
      <c r="BN43" s="536"/>
      <c r="BO43" s="536"/>
      <c r="BP43" s="536"/>
      <c r="BQ43" s="536"/>
      <c r="BR43" s="536"/>
      <c r="BS43" s="536"/>
      <c r="BT43" s="536"/>
    </row>
    <row r="44" spans="1:72" ht="20.100000000000001" customHeight="1">
      <c r="A44" s="8" t="s">
        <v>61</v>
      </c>
      <c r="B44" s="8"/>
      <c r="C44" s="8"/>
      <c r="D44" s="8"/>
      <c r="E44" s="8"/>
      <c r="F44" s="327"/>
      <c r="G44" s="327"/>
      <c r="H44" s="327"/>
      <c r="I44" s="536"/>
      <c r="J44" s="536"/>
      <c r="K44" s="536"/>
      <c r="L44" s="536"/>
      <c r="M44" s="536"/>
      <c r="N44" s="536"/>
      <c r="O44" s="536"/>
      <c r="P44" s="536"/>
      <c r="Q44" s="536"/>
      <c r="R44" s="536"/>
      <c r="S44" s="536"/>
      <c r="T44" s="536"/>
      <c r="U44" s="536"/>
      <c r="V44" s="536"/>
      <c r="W44" s="536"/>
      <c r="X44" s="536"/>
      <c r="Y44" s="536"/>
      <c r="Z44" s="536"/>
      <c r="AA44" s="536"/>
      <c r="AB44" s="536"/>
      <c r="AC44" s="536"/>
      <c r="AD44" s="536"/>
      <c r="AE44" s="536"/>
      <c r="AF44" s="536"/>
      <c r="AG44" s="536"/>
      <c r="AH44" s="536"/>
      <c r="AI44" s="536"/>
      <c r="AJ44" s="536"/>
      <c r="AK44" s="536"/>
      <c r="AL44" s="536"/>
      <c r="AM44" s="536"/>
      <c r="AN44" s="536"/>
      <c r="AO44" s="536"/>
      <c r="AP44" s="536"/>
      <c r="AQ44" s="536"/>
      <c r="AR44" s="536"/>
      <c r="AS44" s="536"/>
      <c r="AT44" s="536"/>
      <c r="AU44" s="536"/>
      <c r="AV44" s="536"/>
      <c r="AW44" s="536"/>
      <c r="AX44" s="536"/>
      <c r="AY44" s="536"/>
      <c r="AZ44" s="536"/>
      <c r="BA44" s="536"/>
      <c r="BB44" s="536"/>
      <c r="BC44" s="536"/>
      <c r="BD44" s="536"/>
      <c r="BE44" s="536"/>
      <c r="BF44" s="536"/>
      <c r="BG44" s="536"/>
      <c r="BH44" s="536"/>
      <c r="BI44" s="536"/>
      <c r="BJ44" s="536"/>
      <c r="BK44" s="536"/>
      <c r="BL44" s="536"/>
      <c r="BM44" s="536"/>
      <c r="BN44" s="536"/>
      <c r="BO44" s="536"/>
      <c r="BP44" s="536"/>
      <c r="BQ44" s="536"/>
      <c r="BR44" s="536"/>
      <c r="BS44" s="536"/>
      <c r="BT44" s="536"/>
    </row>
    <row r="45" spans="1:72" ht="20.100000000000001" customHeight="1">
      <c r="A45" s="2512" t="s">
        <v>196</v>
      </c>
      <c r="B45" s="2512" t="s">
        <v>57</v>
      </c>
      <c r="C45" s="1146" t="s">
        <v>835</v>
      </c>
      <c r="D45" s="1146"/>
      <c r="E45" s="1146"/>
      <c r="F45" s="327"/>
      <c r="G45" s="327"/>
      <c r="H45" s="327"/>
      <c r="I45" s="536"/>
      <c r="J45" s="536"/>
      <c r="K45" s="536"/>
      <c r="L45" s="536"/>
      <c r="M45" s="536"/>
      <c r="N45" s="536"/>
      <c r="O45" s="536"/>
      <c r="P45" s="536"/>
      <c r="Q45" s="536"/>
      <c r="R45" s="536"/>
      <c r="S45" s="536"/>
      <c r="T45" s="536"/>
      <c r="U45" s="536"/>
      <c r="V45" s="536"/>
      <c r="W45" s="536"/>
      <c r="X45" s="536"/>
      <c r="Y45" s="536"/>
      <c r="Z45" s="536"/>
      <c r="AA45" s="536"/>
      <c r="AB45" s="536"/>
      <c r="AC45" s="536"/>
      <c r="AD45" s="536"/>
      <c r="AE45" s="536"/>
      <c r="AF45" s="536"/>
      <c r="AG45" s="536"/>
      <c r="AH45" s="536"/>
      <c r="AI45" s="536"/>
      <c r="AJ45" s="536"/>
      <c r="AK45" s="536"/>
      <c r="AL45" s="536"/>
      <c r="AM45" s="536"/>
      <c r="AN45" s="536"/>
      <c r="AO45" s="536"/>
      <c r="AP45" s="536"/>
      <c r="AQ45" s="536"/>
      <c r="AR45" s="536"/>
      <c r="AS45" s="536"/>
      <c r="AT45" s="536"/>
      <c r="AU45" s="536"/>
      <c r="AV45" s="536"/>
      <c r="AW45" s="536"/>
      <c r="AX45" s="536"/>
      <c r="AY45" s="536"/>
      <c r="AZ45" s="536"/>
      <c r="BA45" s="536"/>
      <c r="BB45" s="536"/>
      <c r="BC45" s="536"/>
      <c r="BD45" s="536"/>
      <c r="BE45" s="536"/>
      <c r="BF45" s="536"/>
      <c r="BG45" s="536"/>
      <c r="BH45" s="536"/>
      <c r="BI45" s="536"/>
      <c r="BJ45" s="536"/>
      <c r="BK45" s="536"/>
      <c r="BL45" s="536"/>
      <c r="BM45" s="536"/>
      <c r="BN45" s="536"/>
      <c r="BO45" s="536"/>
      <c r="BP45" s="536"/>
      <c r="BQ45" s="536"/>
      <c r="BR45" s="536"/>
      <c r="BS45" s="536"/>
      <c r="BT45" s="536"/>
    </row>
    <row r="46" spans="1:72" ht="20.100000000000001" customHeight="1">
      <c r="A46" s="2513"/>
      <c r="B46" s="2513"/>
      <c r="C46" s="1154">
        <v>1</v>
      </c>
      <c r="D46" s="1154">
        <v>2</v>
      </c>
      <c r="E46" s="1154">
        <v>3</v>
      </c>
      <c r="F46" s="327"/>
      <c r="G46" s="327"/>
      <c r="I46" s="536"/>
      <c r="J46" s="536"/>
      <c r="K46" s="536"/>
      <c r="L46" s="536"/>
      <c r="M46" s="536"/>
      <c r="N46" s="536"/>
      <c r="O46" s="536"/>
      <c r="P46" s="536"/>
      <c r="Q46" s="536"/>
      <c r="R46" s="536"/>
      <c r="S46" s="536"/>
      <c r="T46" s="536"/>
      <c r="U46" s="536"/>
      <c r="V46" s="536"/>
      <c r="W46" s="536"/>
      <c r="X46" s="536"/>
      <c r="Y46" s="536"/>
      <c r="Z46" s="536"/>
      <c r="AA46" s="536"/>
      <c r="AB46" s="536"/>
      <c r="AC46" s="536"/>
      <c r="AD46" s="536"/>
      <c r="AE46" s="536"/>
      <c r="AF46" s="536"/>
      <c r="AG46" s="536"/>
      <c r="AH46" s="536"/>
      <c r="AI46" s="536"/>
      <c r="AJ46" s="536"/>
      <c r="AK46" s="536"/>
      <c r="AL46" s="536"/>
      <c r="AM46" s="536"/>
      <c r="AN46" s="536"/>
      <c r="AO46" s="536"/>
      <c r="AP46" s="536"/>
      <c r="AQ46" s="536"/>
      <c r="AR46" s="536"/>
      <c r="AS46" s="536"/>
      <c r="AT46" s="536"/>
      <c r="AU46" s="536"/>
      <c r="AV46" s="536"/>
      <c r="AW46" s="536"/>
      <c r="AX46" s="536"/>
      <c r="AY46" s="536"/>
      <c r="AZ46" s="536"/>
      <c r="BA46" s="536"/>
      <c r="BB46" s="536"/>
      <c r="BC46" s="536"/>
      <c r="BD46" s="536"/>
      <c r="BE46" s="536"/>
      <c r="BF46" s="536"/>
      <c r="BG46" s="536"/>
      <c r="BH46" s="536"/>
      <c r="BI46" s="536"/>
      <c r="BJ46" s="536"/>
      <c r="BK46" s="536"/>
      <c r="BL46" s="536"/>
      <c r="BM46" s="536"/>
      <c r="BN46" s="536"/>
      <c r="BO46" s="536"/>
      <c r="BP46" s="536"/>
      <c r="BQ46" s="536"/>
      <c r="BR46" s="536"/>
      <c r="BS46" s="536"/>
      <c r="BT46" s="536"/>
    </row>
    <row r="47" spans="1:72" ht="37.5">
      <c r="A47" s="1164">
        <v>1</v>
      </c>
      <c r="B47" s="1165" t="s">
        <v>1327</v>
      </c>
      <c r="C47" s="1166">
        <f>C35-C34</f>
        <v>0</v>
      </c>
      <c r="D47" s="1166">
        <f t="shared" ref="D47:E47" si="0">D35-D34</f>
        <v>0</v>
      </c>
      <c r="E47" s="1166">
        <f t="shared" si="0"/>
        <v>0</v>
      </c>
      <c r="F47" s="327"/>
      <c r="G47" s="327"/>
      <c r="H47" s="327"/>
      <c r="I47" s="536"/>
      <c r="J47" s="536"/>
      <c r="K47" s="536"/>
      <c r="L47" s="536"/>
      <c r="M47" s="536"/>
      <c r="N47" s="536"/>
      <c r="O47" s="536"/>
      <c r="P47" s="536"/>
      <c r="Q47" s="536"/>
      <c r="R47" s="536"/>
      <c r="S47" s="536"/>
      <c r="T47" s="536"/>
      <c r="U47" s="536"/>
      <c r="V47" s="536"/>
      <c r="W47" s="536"/>
      <c r="X47" s="536"/>
      <c r="Y47" s="536"/>
      <c r="Z47" s="536"/>
      <c r="AA47" s="536"/>
      <c r="AB47" s="536"/>
      <c r="AC47" s="536"/>
      <c r="AD47" s="536"/>
      <c r="AE47" s="536"/>
      <c r="AF47" s="536"/>
      <c r="AG47" s="536"/>
      <c r="AH47" s="536"/>
      <c r="AI47" s="536"/>
      <c r="AJ47" s="536"/>
      <c r="AK47" s="536"/>
      <c r="AL47" s="536"/>
      <c r="AM47" s="536"/>
      <c r="AN47" s="536"/>
      <c r="AO47" s="536"/>
      <c r="AP47" s="536"/>
      <c r="AQ47" s="536"/>
      <c r="AR47" s="536"/>
      <c r="AS47" s="536"/>
      <c r="AT47" s="536"/>
      <c r="AU47" s="536"/>
      <c r="AV47" s="536"/>
      <c r="AW47" s="536"/>
      <c r="AX47" s="536"/>
      <c r="AY47" s="536"/>
      <c r="AZ47" s="536"/>
      <c r="BA47" s="536"/>
      <c r="BB47" s="536"/>
      <c r="BC47" s="536"/>
      <c r="BD47" s="536"/>
      <c r="BE47" s="536"/>
      <c r="BF47" s="536"/>
      <c r="BG47" s="536"/>
      <c r="BH47" s="536"/>
      <c r="BI47" s="536"/>
      <c r="BJ47" s="536"/>
      <c r="BK47" s="536"/>
      <c r="BL47" s="536"/>
      <c r="BM47" s="536"/>
      <c r="BN47" s="536"/>
      <c r="BO47" s="536"/>
      <c r="BP47" s="536"/>
      <c r="BQ47" s="536"/>
      <c r="BR47" s="536"/>
      <c r="BS47" s="536"/>
      <c r="BT47" s="536"/>
    </row>
    <row r="48" spans="1:72" ht="37.15" customHeight="1">
      <c r="A48" s="1157">
        <v>3</v>
      </c>
      <c r="B48" s="1158" t="s">
        <v>63</v>
      </c>
      <c r="C48" s="1167">
        <f>C47*(($F$42+$F$28)^C46)</f>
        <v>0</v>
      </c>
      <c r="D48" s="1167">
        <f t="shared" ref="D48:E48" si="1">D47*(($F$42+$F$28)^D46)</f>
        <v>0</v>
      </c>
      <c r="E48" s="1167">
        <f t="shared" si="1"/>
        <v>0</v>
      </c>
      <c r="F48" s="327"/>
      <c r="G48" s="327"/>
      <c r="H48" s="327"/>
      <c r="I48" s="536"/>
      <c r="J48" s="536"/>
      <c r="K48" s="536"/>
      <c r="L48" s="536"/>
      <c r="M48" s="536"/>
      <c r="N48" s="536"/>
      <c r="O48" s="536"/>
      <c r="P48" s="536"/>
      <c r="Q48" s="536"/>
      <c r="R48" s="536"/>
      <c r="S48" s="536"/>
      <c r="T48" s="536"/>
      <c r="U48" s="536"/>
      <c r="V48" s="536"/>
      <c r="W48" s="536"/>
      <c r="X48" s="536"/>
      <c r="Y48" s="536"/>
      <c r="Z48" s="536"/>
      <c r="AA48" s="536"/>
      <c r="AB48" s="536"/>
      <c r="AC48" s="536"/>
      <c r="AD48" s="536"/>
      <c r="AE48" s="536"/>
      <c r="AF48" s="536"/>
      <c r="AG48" s="536"/>
      <c r="AH48" s="536"/>
      <c r="AI48" s="536"/>
      <c r="AJ48" s="536"/>
      <c r="AK48" s="536"/>
      <c r="AL48" s="536"/>
      <c r="AM48" s="536"/>
      <c r="AN48" s="536"/>
      <c r="AO48" s="536"/>
      <c r="AP48" s="536"/>
      <c r="AQ48" s="536"/>
      <c r="AR48" s="536"/>
      <c r="AS48" s="536"/>
      <c r="AT48" s="536"/>
      <c r="AU48" s="536"/>
      <c r="AV48" s="536"/>
      <c r="AW48" s="536"/>
      <c r="AX48" s="536"/>
      <c r="AY48" s="536"/>
      <c r="AZ48" s="536"/>
      <c r="BA48" s="536"/>
      <c r="BB48" s="536"/>
      <c r="BC48" s="536"/>
      <c r="BD48" s="536"/>
      <c r="BE48" s="536"/>
      <c r="BF48" s="536"/>
      <c r="BG48" s="536"/>
      <c r="BH48" s="536"/>
      <c r="BI48" s="536"/>
      <c r="BJ48" s="536"/>
      <c r="BK48" s="536"/>
      <c r="BL48" s="536"/>
      <c r="BM48" s="536"/>
      <c r="BN48" s="536"/>
      <c r="BO48" s="536"/>
      <c r="BP48" s="536"/>
      <c r="BQ48" s="536"/>
      <c r="BR48" s="536"/>
      <c r="BS48" s="536"/>
      <c r="BT48" s="536"/>
    </row>
    <row r="49" spans="1:72" ht="20.100000000000001" customHeight="1">
      <c r="A49" s="1157">
        <v>4</v>
      </c>
      <c r="B49" s="1158" t="s">
        <v>826</v>
      </c>
      <c r="C49" s="1167">
        <f>C47*(($F$42+$F$28)^C46-1)</f>
        <v>0</v>
      </c>
      <c r="D49" s="1167">
        <f t="shared" ref="D49:E49" si="2">D47*(($F$42+$F$28)^D46-1)</f>
        <v>0</v>
      </c>
      <c r="E49" s="1167">
        <f t="shared" si="2"/>
        <v>0</v>
      </c>
      <c r="F49" s="327"/>
      <c r="G49" s="327"/>
      <c r="H49" s="327"/>
      <c r="I49" s="536"/>
      <c r="J49" s="536"/>
      <c r="K49" s="536"/>
      <c r="L49" s="536"/>
      <c r="M49" s="536"/>
      <c r="N49" s="536"/>
      <c r="O49" s="536"/>
      <c r="P49" s="536"/>
      <c r="Q49" s="536"/>
      <c r="R49" s="536"/>
      <c r="S49" s="536"/>
      <c r="T49" s="536"/>
      <c r="U49" s="536"/>
      <c r="V49" s="536"/>
      <c r="W49" s="536"/>
      <c r="X49" s="536"/>
      <c r="Y49" s="536"/>
      <c r="Z49" s="536"/>
      <c r="AA49" s="536"/>
      <c r="AB49" s="536"/>
      <c r="AC49" s="536"/>
      <c r="AD49" s="536"/>
      <c r="AE49" s="536"/>
      <c r="AF49" s="536"/>
      <c r="AG49" s="536"/>
      <c r="AH49" s="536"/>
      <c r="AI49" s="536"/>
      <c r="AJ49" s="536"/>
      <c r="AK49" s="536"/>
      <c r="AL49" s="536"/>
      <c r="AM49" s="536"/>
      <c r="AN49" s="536"/>
      <c r="AO49" s="536"/>
      <c r="AP49" s="536"/>
      <c r="AQ49" s="536"/>
      <c r="AR49" s="536"/>
      <c r="AS49" s="536"/>
      <c r="AT49" s="536"/>
      <c r="AU49" s="536"/>
      <c r="AV49" s="536"/>
      <c r="AW49" s="536"/>
      <c r="AX49" s="536"/>
      <c r="AY49" s="536"/>
      <c r="AZ49" s="536"/>
      <c r="BA49" s="536"/>
      <c r="BB49" s="536"/>
      <c r="BC49" s="536"/>
      <c r="BD49" s="536"/>
      <c r="BE49" s="536"/>
      <c r="BF49" s="536"/>
      <c r="BG49" s="536"/>
      <c r="BH49" s="536"/>
      <c r="BI49" s="536"/>
      <c r="BJ49" s="536"/>
      <c r="BK49" s="536"/>
      <c r="BL49" s="536"/>
      <c r="BM49" s="536"/>
      <c r="BN49" s="536"/>
      <c r="BO49" s="536"/>
      <c r="BP49" s="536"/>
      <c r="BQ49" s="536"/>
      <c r="BR49" s="536"/>
      <c r="BS49" s="536"/>
      <c r="BT49" s="536"/>
    </row>
    <row r="50" spans="1:72" ht="20.100000000000001" customHeight="1">
      <c r="A50" s="1160">
        <v>5</v>
      </c>
      <c r="B50" s="1161" t="s">
        <v>810</v>
      </c>
      <c r="C50" s="1168">
        <f>C49</f>
        <v>0</v>
      </c>
      <c r="D50" s="1168">
        <f>C50+D49</f>
        <v>0</v>
      </c>
      <c r="E50" s="1517">
        <f>D50+E49</f>
        <v>0</v>
      </c>
      <c r="F50" s="327"/>
      <c r="G50" s="327"/>
      <c r="H50" s="327"/>
      <c r="I50" s="794">
        <f ca="1">CPDP_GDP1-CPDP_PS1</f>
        <v>5189809.8404459059</v>
      </c>
      <c r="J50" s="536"/>
      <c r="K50" s="536"/>
      <c r="L50" s="536"/>
      <c r="M50" s="536"/>
      <c r="N50" s="536"/>
      <c r="O50" s="536"/>
      <c r="P50" s="536"/>
      <c r="Q50" s="536"/>
      <c r="R50" s="536"/>
      <c r="S50" s="536"/>
      <c r="T50" s="536"/>
      <c r="U50" s="536"/>
      <c r="V50" s="536"/>
      <c r="W50" s="536"/>
      <c r="X50" s="536"/>
      <c r="Y50" s="536"/>
      <c r="Z50" s="536"/>
      <c r="AA50" s="536"/>
      <c r="AB50" s="536"/>
      <c r="AC50" s="536"/>
      <c r="AD50" s="536"/>
      <c r="AE50" s="536"/>
      <c r="AF50" s="536"/>
      <c r="AG50" s="536"/>
      <c r="AH50" s="536"/>
      <c r="AI50" s="536"/>
      <c r="AJ50" s="536"/>
      <c r="AK50" s="536"/>
      <c r="AL50" s="536"/>
      <c r="AM50" s="536"/>
      <c r="AN50" s="536"/>
      <c r="AO50" s="536"/>
      <c r="AP50" s="536"/>
      <c r="AQ50" s="536"/>
      <c r="AR50" s="536"/>
      <c r="AS50" s="536"/>
      <c r="AT50" s="536"/>
      <c r="AU50" s="536"/>
      <c r="AV50" s="536"/>
      <c r="AW50" s="536"/>
      <c r="AX50" s="536"/>
      <c r="AY50" s="536"/>
      <c r="AZ50" s="536"/>
      <c r="BA50" s="536"/>
      <c r="BB50" s="536"/>
      <c r="BC50" s="536"/>
      <c r="BD50" s="536"/>
      <c r="BE50" s="536"/>
      <c r="BF50" s="536"/>
      <c r="BG50" s="536"/>
      <c r="BH50" s="536"/>
      <c r="BI50" s="536"/>
      <c r="BJ50" s="536"/>
      <c r="BK50" s="536"/>
      <c r="BL50" s="536"/>
      <c r="BM50" s="536"/>
      <c r="BN50" s="536"/>
      <c r="BO50" s="536"/>
      <c r="BP50" s="536"/>
      <c r="BQ50" s="536"/>
      <c r="BR50" s="536"/>
      <c r="BS50" s="536"/>
      <c r="BT50" s="536"/>
    </row>
    <row r="51" spans="1:72" ht="20.100000000000001" customHeight="1">
      <c r="A51" s="322"/>
      <c r="B51" s="1515"/>
      <c r="C51" s="1516"/>
      <c r="D51" s="1516"/>
      <c r="E51" s="1516">
        <f>D52-C15</f>
        <v>0</v>
      </c>
      <c r="F51" s="327"/>
      <c r="G51" s="327"/>
      <c r="H51" s="327"/>
      <c r="I51" s="794"/>
      <c r="J51" s="536"/>
      <c r="K51" s="536"/>
      <c r="L51" s="536"/>
      <c r="M51" s="536"/>
      <c r="N51" s="536"/>
      <c r="O51" s="536"/>
      <c r="P51" s="536"/>
      <c r="Q51" s="536"/>
      <c r="R51" s="536"/>
      <c r="S51" s="536"/>
      <c r="T51" s="536"/>
      <c r="U51" s="536"/>
      <c r="V51" s="536"/>
      <c r="W51" s="536"/>
      <c r="X51" s="536"/>
      <c r="Y51" s="536"/>
      <c r="Z51" s="536"/>
      <c r="AA51" s="536"/>
      <c r="AB51" s="536"/>
      <c r="AC51" s="536"/>
      <c r="AD51" s="536"/>
      <c r="AE51" s="536"/>
      <c r="AF51" s="536"/>
      <c r="AG51" s="536"/>
      <c r="AH51" s="536"/>
      <c r="AI51" s="536"/>
      <c r="AJ51" s="536"/>
      <c r="AK51" s="536"/>
      <c r="AL51" s="536"/>
      <c r="AM51" s="536"/>
      <c r="AN51" s="536"/>
      <c r="AO51" s="536"/>
      <c r="AP51" s="536"/>
      <c r="AQ51" s="536"/>
      <c r="AR51" s="536"/>
      <c r="AS51" s="536"/>
      <c r="AT51" s="536"/>
      <c r="AU51" s="536"/>
      <c r="AV51" s="536"/>
      <c r="AW51" s="536"/>
      <c r="AX51" s="536"/>
      <c r="AY51" s="536"/>
      <c r="AZ51" s="536"/>
      <c r="BA51" s="536"/>
      <c r="BB51" s="536"/>
      <c r="BC51" s="536"/>
      <c r="BD51" s="536"/>
      <c r="BE51" s="536"/>
      <c r="BF51" s="536"/>
      <c r="BG51" s="536"/>
      <c r="BH51" s="536"/>
      <c r="BI51" s="536"/>
      <c r="BJ51" s="536"/>
      <c r="BK51" s="536"/>
      <c r="BL51" s="536"/>
      <c r="BM51" s="536"/>
      <c r="BN51" s="536"/>
      <c r="BO51" s="536"/>
      <c r="BP51" s="536"/>
      <c r="BQ51" s="536"/>
      <c r="BR51" s="536"/>
      <c r="BS51" s="536"/>
      <c r="BT51" s="536"/>
    </row>
    <row r="52" spans="1:72" ht="20.25">
      <c r="A52" s="324"/>
      <c r="B52" s="1169"/>
      <c r="C52" s="1143" t="s">
        <v>833</v>
      </c>
      <c r="D52" s="2514">
        <f>C15+E50</f>
        <v>0</v>
      </c>
      <c r="E52" s="2514"/>
      <c r="F52" s="324"/>
      <c r="G52" s="324"/>
      <c r="H52" s="324"/>
    </row>
    <row r="53" spans="1:72" ht="18.75">
      <c r="A53" s="324"/>
      <c r="B53" s="1169"/>
      <c r="C53" s="1143" t="s">
        <v>827</v>
      </c>
      <c r="D53" s="1181">
        <f>ROUND(IFERROR(D52/C10,0)-E14,2)</f>
        <v>-0.1</v>
      </c>
      <c r="E53" s="1175"/>
      <c r="F53" s="324"/>
      <c r="G53" s="324"/>
      <c r="H53" s="324"/>
    </row>
    <row r="54" spans="1:72" ht="18.75">
      <c r="A54" s="324"/>
      <c r="B54" s="1169"/>
      <c r="C54" s="1179" t="s">
        <v>832</v>
      </c>
      <c r="D54" s="1174">
        <f>ROUND(IFERROR(D52/C10,0),2)</f>
        <v>0</v>
      </c>
      <c r="E54" s="1170"/>
      <c r="F54" s="324"/>
      <c r="G54" s="324"/>
      <c r="H54" s="324"/>
    </row>
    <row r="55" spans="1:72" ht="18.75">
      <c r="A55" s="324"/>
      <c r="B55" s="324"/>
      <c r="C55" s="1171"/>
      <c r="D55" s="324"/>
      <c r="E55" s="324"/>
      <c r="F55" s="324"/>
      <c r="G55" s="324"/>
      <c r="H55" s="324"/>
    </row>
    <row r="56" spans="1:72" ht="18.75">
      <c r="A56" s="227" t="s">
        <v>55</v>
      </c>
      <c r="B56" s="324"/>
      <c r="C56" s="324"/>
      <c r="D56" s="324"/>
      <c r="E56" s="324"/>
      <c r="F56" s="324"/>
      <c r="G56" s="324"/>
      <c r="H56" s="324"/>
    </row>
    <row r="57" spans="1:72" ht="18.75">
      <c r="A57" s="324" t="s">
        <v>834</v>
      </c>
      <c r="B57" s="324"/>
      <c r="C57" s="324"/>
      <c r="D57" s="324"/>
      <c r="E57" s="324"/>
      <c r="F57" s="324"/>
      <c r="G57" s="324"/>
      <c r="H57" s="324"/>
    </row>
    <row r="58" spans="1:72" ht="18.75">
      <c r="A58" s="324" t="s">
        <v>820</v>
      </c>
      <c r="B58" s="324"/>
      <c r="C58" s="324"/>
      <c r="D58" s="324"/>
      <c r="E58" s="324"/>
      <c r="F58" s="324"/>
      <c r="G58" s="324"/>
      <c r="H58" s="324"/>
    </row>
    <row r="59" spans="1:72" ht="18.75">
      <c r="A59" s="324"/>
      <c r="B59" s="324"/>
      <c r="C59" s="324"/>
      <c r="D59" s="324"/>
      <c r="E59" s="324"/>
      <c r="F59" s="324"/>
      <c r="G59" s="324"/>
      <c r="H59" s="324"/>
    </row>
    <row r="61" spans="1:72" ht="22.5">
      <c r="A61" s="721" t="s">
        <v>611</v>
      </c>
      <c r="B61" s="851"/>
      <c r="C61" s="851"/>
      <c r="D61" s="851"/>
      <c r="E61" s="796"/>
      <c r="F61" s="796"/>
    </row>
    <row r="62" spans="1:72" ht="22.15" customHeight="1">
      <c r="A6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62" s="28"/>
      <c r="C62" s="28"/>
      <c r="D62" s="28"/>
      <c r="E62" s="796"/>
      <c r="F62" s="796"/>
    </row>
    <row r="63" spans="1:72" ht="22.15" customHeight="1">
      <c r="A63" s="1019" t="str">
        <f>'Bia-Dutoan'!D43&amp;'Bia-Dutoan'!E43</f>
        <v>CÔNG TRÌNH: NHÀ 01 TẦNG, TƯỜNG CHỊU LỰC 110MM, MÁI LỢP FIBRÔXIMĂNG, KHÔNG CÓ KHU VỆ SINH KHÉP KÍN</v>
      </c>
      <c r="B63" s="28"/>
      <c r="C63" s="28"/>
      <c r="D63" s="28"/>
      <c r="E63" s="796"/>
      <c r="F63" s="796"/>
    </row>
    <row r="64" spans="1:72" ht="20.25">
      <c r="A64" s="327" t="s">
        <v>800</v>
      </c>
      <c r="B64" s="179" t="s">
        <v>804</v>
      </c>
      <c r="C64" s="325">
        <f ca="1">'TH DTXD'!H8</f>
        <v>378436483.8917371</v>
      </c>
      <c r="D64" s="739"/>
      <c r="E64" s="221"/>
      <c r="F64" s="221"/>
    </row>
    <row r="65" spans="1:8" ht="20.25">
      <c r="A65" s="327" t="s">
        <v>799</v>
      </c>
      <c r="B65" s="179" t="s">
        <v>805</v>
      </c>
      <c r="C65" s="325">
        <f ca="1">'TH DTXD'!H22</f>
        <v>0</v>
      </c>
      <c r="D65" s="221"/>
      <c r="E65" s="221"/>
      <c r="F65" s="221"/>
      <c r="G65" s="221"/>
      <c r="H65" s="324"/>
    </row>
    <row r="66" spans="1:8" ht="20.25">
      <c r="A66" s="327" t="s">
        <v>801</v>
      </c>
      <c r="B66" s="179" t="s">
        <v>806</v>
      </c>
      <c r="C66" s="325">
        <f>'TH DTXD'!H23</f>
        <v>0</v>
      </c>
      <c r="D66" s="324"/>
      <c r="E66" s="324"/>
      <c r="F66" s="324"/>
      <c r="G66" s="221"/>
      <c r="H66" s="324"/>
    </row>
    <row r="67" spans="1:8" ht="20.25">
      <c r="A67" s="327" t="s">
        <v>802</v>
      </c>
      <c r="B67" s="179" t="s">
        <v>807</v>
      </c>
      <c r="C67" s="325">
        <f>'TH DTXD'!H24</f>
        <v>0</v>
      </c>
      <c r="D67" s="324"/>
      <c r="E67" s="324"/>
      <c r="F67" s="324"/>
      <c r="G67" s="221"/>
      <c r="H67" s="324"/>
    </row>
    <row r="68" spans="1:8" ht="20.25">
      <c r="A68" s="327" t="s">
        <v>803</v>
      </c>
      <c r="B68" s="179" t="s">
        <v>808</v>
      </c>
      <c r="C68" s="325">
        <f>'TH DTXD'!H27</f>
        <v>0</v>
      </c>
      <c r="D68" s="221"/>
      <c r="E68" s="221"/>
      <c r="F68" s="221"/>
      <c r="G68" s="221"/>
      <c r="H68" s="324"/>
    </row>
    <row r="69" spans="1:8" ht="20.25">
      <c r="A69" s="324"/>
      <c r="B69" s="1138" t="s">
        <v>809</v>
      </c>
      <c r="C69" s="1139">
        <f ca="1">SUM(C64:C68)</f>
        <v>378436483.8917371</v>
      </c>
      <c r="D69" s="221"/>
      <c r="E69" s="221"/>
      <c r="F69" s="221"/>
      <c r="G69" s="221"/>
      <c r="H69" s="324"/>
    </row>
    <row r="70" spans="1:8" ht="18.75">
      <c r="A70" s="113"/>
      <c r="B70" s="324"/>
      <c r="C70" s="324"/>
      <c r="D70" s="1140"/>
      <c r="E70" s="1140"/>
      <c r="F70" s="1140"/>
      <c r="G70" s="1140"/>
      <c r="H70" s="324"/>
    </row>
    <row r="71" spans="1:8" ht="20.25">
      <c r="A71" s="1140" t="s">
        <v>1016</v>
      </c>
      <c r="B71" s="6"/>
      <c r="C71" s="8"/>
      <c r="D71" s="8"/>
      <c r="E71" s="8"/>
      <c r="F71" s="8"/>
      <c r="G71" s="8"/>
      <c r="H71" s="324"/>
    </row>
    <row r="72" spans="1:8" ht="30.75" customHeight="1">
      <c r="A72" s="1141"/>
      <c r="B72" s="1143" t="s">
        <v>821</v>
      </c>
      <c r="C72" s="1142">
        <f ca="1">$E$72*C69</f>
        <v>18921824.194586854</v>
      </c>
      <c r="D72" s="1143" t="s">
        <v>822</v>
      </c>
      <c r="E72" s="1144">
        <v>0.05</v>
      </c>
      <c r="F72" s="221"/>
      <c r="G72" s="221"/>
      <c r="H72" s="324"/>
    </row>
    <row r="73" spans="1:8" ht="18.75">
      <c r="A73" s="1140" t="s">
        <v>1017</v>
      </c>
      <c r="B73" s="6"/>
      <c r="C73" s="8"/>
      <c r="D73" s="8"/>
      <c r="E73" s="8"/>
      <c r="F73" s="8"/>
      <c r="G73" s="8"/>
      <c r="H73" s="324"/>
    </row>
    <row r="74" spans="1:8" ht="24.75" customHeight="1">
      <c r="A74" s="1145"/>
      <c r="B74" s="790" t="s">
        <v>1018</v>
      </c>
      <c r="C74" s="8"/>
      <c r="D74" s="8"/>
      <c r="E74" s="324"/>
      <c r="F74" s="8"/>
      <c r="G74" s="324"/>
      <c r="H74" s="324"/>
    </row>
    <row r="75" spans="1:8" ht="20.100000000000001" customHeight="1">
      <c r="A75" s="739" t="s">
        <v>1019</v>
      </c>
      <c r="B75" s="6"/>
      <c r="C75" s="8"/>
      <c r="D75" s="8"/>
      <c r="E75" s="8"/>
      <c r="F75" s="8"/>
      <c r="G75" s="8"/>
      <c r="H75" s="324"/>
    </row>
    <row r="76" spans="1:8" ht="20.100000000000001" customHeight="1">
      <c r="A76" s="739" t="s">
        <v>1020</v>
      </c>
      <c r="B76" s="6"/>
      <c r="C76" s="8"/>
      <c r="D76" s="8"/>
      <c r="E76" s="8"/>
      <c r="F76" s="8"/>
      <c r="G76" s="8"/>
      <c r="H76" s="324"/>
    </row>
    <row r="77" spans="1:8" ht="24" customHeight="1">
      <c r="A77" s="739" t="s">
        <v>1021</v>
      </c>
      <c r="B77" s="221"/>
      <c r="C77" s="221"/>
      <c r="D77" s="8"/>
      <c r="E77" s="8"/>
      <c r="F77" s="221"/>
      <c r="G77" s="221"/>
      <c r="H77" s="324"/>
    </row>
    <row r="78" spans="1:8" s="324" customFormat="1" ht="20.100000000000001" customHeight="1">
      <c r="A78" s="739" t="s">
        <v>816</v>
      </c>
      <c r="B78" s="221"/>
      <c r="C78" s="221"/>
      <c r="D78" s="8"/>
      <c r="E78" s="8"/>
      <c r="F78" s="221"/>
    </row>
    <row r="79" spans="1:8" s="324" customFormat="1" ht="20.100000000000001" customHeight="1">
      <c r="A79" s="739"/>
      <c r="B79" s="221"/>
      <c r="C79" s="221"/>
      <c r="D79" s="8"/>
      <c r="E79" s="8"/>
      <c r="F79" s="221"/>
    </row>
    <row r="80" spans="1:8" s="324" customFormat="1" ht="26.45" customHeight="1">
      <c r="A80" s="739"/>
      <c r="B80" s="221"/>
      <c r="C80" s="221"/>
      <c r="D80" s="8"/>
      <c r="E80" s="8"/>
      <c r="F80" s="221"/>
    </row>
    <row r="81" spans="1:72" s="324" customFormat="1" ht="26.45" customHeight="1">
      <c r="A81" s="1177" t="s">
        <v>817</v>
      </c>
      <c r="B81" s="221"/>
      <c r="C81" s="221"/>
      <c r="D81" s="8"/>
      <c r="E81" s="8"/>
      <c r="F81" s="221"/>
    </row>
    <row r="82" spans="1:72" s="324" customFormat="1" ht="26.45" customHeight="1">
      <c r="A82" s="1178" t="s">
        <v>1022</v>
      </c>
      <c r="B82" s="221"/>
      <c r="C82" s="221"/>
      <c r="D82" s="8"/>
      <c r="E82" s="8"/>
      <c r="F82" s="221"/>
    </row>
    <row r="83" spans="1:72" s="324" customFormat="1" ht="26.45" customHeight="1">
      <c r="A83" s="1178" t="s">
        <v>818</v>
      </c>
      <c r="B83" s="221"/>
      <c r="C83" s="221"/>
      <c r="D83" s="8"/>
      <c r="E83" s="8"/>
      <c r="F83" s="221"/>
    </row>
    <row r="84" spans="1:72" s="324" customFormat="1" ht="26.45" customHeight="1">
      <c r="A84" s="1178" t="s">
        <v>819</v>
      </c>
      <c r="B84" s="221"/>
      <c r="C84" s="221"/>
      <c r="D84" s="8"/>
      <c r="E84" s="8"/>
      <c r="F84" s="221"/>
    </row>
    <row r="85" spans="1:72" ht="59.45" customHeight="1">
      <c r="A85" s="2515" t="s">
        <v>1023</v>
      </c>
      <c r="B85" s="2516"/>
      <c r="C85" s="2516"/>
      <c r="D85" s="2516"/>
      <c r="E85" s="2517"/>
      <c r="F85" s="1176">
        <v>0</v>
      </c>
      <c r="G85" s="324"/>
      <c r="H85" s="324"/>
    </row>
    <row r="86" spans="1:72" ht="28.5" customHeight="1">
      <c r="A86" s="221"/>
      <c r="B86" s="221"/>
      <c r="C86" s="221"/>
      <c r="D86" s="221"/>
      <c r="E86" s="221"/>
      <c r="F86" s="221"/>
      <c r="G86" s="221"/>
      <c r="H86" s="324"/>
    </row>
    <row r="87" spans="1:72" ht="20.100000000000001" customHeight="1">
      <c r="A87" s="8" t="s">
        <v>56</v>
      </c>
      <c r="B87" s="6"/>
      <c r="C87" s="8"/>
      <c r="D87" s="8"/>
      <c r="E87" s="8"/>
      <c r="F87" s="8"/>
      <c r="G87" s="8"/>
      <c r="H87" s="324"/>
    </row>
    <row r="88" spans="1:72" ht="20.100000000000001" customHeight="1">
      <c r="A88" s="2518" t="s">
        <v>196</v>
      </c>
      <c r="B88" s="2518" t="s">
        <v>57</v>
      </c>
      <c r="C88" s="1146" t="s">
        <v>835</v>
      </c>
      <c r="D88" s="1146"/>
      <c r="E88" s="1146"/>
      <c r="F88" s="327"/>
      <c r="G88" s="327"/>
      <c r="H88" s="327"/>
      <c r="I88" s="536"/>
      <c r="J88" s="536"/>
      <c r="K88" s="536"/>
      <c r="L88" s="536"/>
      <c r="M88" s="536"/>
      <c r="N88" s="536"/>
      <c r="O88" s="536"/>
      <c r="P88" s="536"/>
      <c r="Q88" s="536"/>
      <c r="R88" s="536"/>
      <c r="S88" s="536"/>
      <c r="T88" s="536"/>
      <c r="U88" s="536"/>
      <c r="V88" s="536"/>
      <c r="W88" s="536"/>
      <c r="X88" s="536"/>
      <c r="Y88" s="536"/>
      <c r="Z88" s="536"/>
      <c r="AA88" s="536"/>
      <c r="AB88" s="536"/>
      <c r="AC88" s="536"/>
      <c r="AD88" s="536"/>
      <c r="AE88" s="536"/>
      <c r="AF88" s="536"/>
      <c r="AG88" s="536"/>
      <c r="AH88" s="536"/>
      <c r="AI88" s="536"/>
      <c r="AJ88" s="536"/>
      <c r="AK88" s="536"/>
      <c r="AL88" s="536"/>
      <c r="AM88" s="536"/>
      <c r="AN88" s="536"/>
      <c r="AO88" s="536"/>
      <c r="AP88" s="536"/>
      <c r="AQ88" s="536"/>
      <c r="AR88" s="536"/>
      <c r="AS88" s="536"/>
      <c r="AT88" s="536"/>
      <c r="AU88" s="536"/>
      <c r="AV88" s="536"/>
      <c r="AW88" s="536"/>
      <c r="AX88" s="536"/>
      <c r="AY88" s="536"/>
      <c r="AZ88" s="536"/>
      <c r="BA88" s="536"/>
      <c r="BB88" s="536"/>
      <c r="BC88" s="536"/>
      <c r="BD88" s="536"/>
      <c r="BE88" s="536"/>
      <c r="BF88" s="536"/>
      <c r="BG88" s="536"/>
      <c r="BH88" s="536"/>
      <c r="BI88" s="536"/>
      <c r="BJ88" s="536"/>
      <c r="BK88" s="536"/>
      <c r="BL88" s="536"/>
      <c r="BM88" s="536"/>
      <c r="BN88" s="536"/>
      <c r="BO88" s="536"/>
      <c r="BP88" s="536"/>
      <c r="BQ88" s="536"/>
      <c r="BR88" s="536"/>
      <c r="BS88" s="536"/>
      <c r="BT88" s="536"/>
    </row>
    <row r="89" spans="1:72" ht="20.100000000000001" customHeight="1">
      <c r="A89" s="2518"/>
      <c r="B89" s="2518"/>
      <c r="C89" s="1147">
        <v>1</v>
      </c>
      <c r="D89" s="1147">
        <v>2</v>
      </c>
      <c r="E89" s="1147">
        <v>3</v>
      </c>
      <c r="F89" s="1148">
        <v>3</v>
      </c>
      <c r="G89" s="8"/>
      <c r="I89" s="536"/>
      <c r="J89" s="536"/>
      <c r="K89" s="536"/>
      <c r="L89" s="536"/>
      <c r="M89" s="536"/>
      <c r="N89" s="536"/>
      <c r="O89" s="536"/>
      <c r="P89" s="536"/>
      <c r="Q89" s="536"/>
      <c r="R89" s="536"/>
      <c r="S89" s="536"/>
      <c r="T89" s="536"/>
      <c r="U89" s="536"/>
      <c r="V89" s="536"/>
      <c r="W89" s="536"/>
      <c r="X89" s="536"/>
      <c r="Y89" s="536"/>
      <c r="Z89" s="536"/>
      <c r="AA89" s="536"/>
      <c r="AB89" s="536"/>
      <c r="AC89" s="536"/>
      <c r="AD89" s="536"/>
      <c r="AE89" s="536"/>
      <c r="AF89" s="536"/>
      <c r="AG89" s="536"/>
      <c r="AH89" s="536"/>
      <c r="AI89" s="536"/>
      <c r="AJ89" s="536"/>
      <c r="AK89" s="536"/>
      <c r="AL89" s="536"/>
      <c r="AM89" s="536"/>
      <c r="AN89" s="536"/>
      <c r="AO89" s="536"/>
      <c r="AP89" s="536"/>
      <c r="AQ89" s="536"/>
      <c r="AR89" s="536"/>
      <c r="AS89" s="536"/>
      <c r="AT89" s="536"/>
      <c r="AU89" s="536"/>
      <c r="AV89" s="536"/>
      <c r="AW89" s="536"/>
      <c r="AX89" s="536"/>
      <c r="AY89" s="536"/>
      <c r="AZ89" s="536"/>
      <c r="BA89" s="536"/>
      <c r="BB89" s="536"/>
      <c r="BC89" s="536"/>
      <c r="BD89" s="536"/>
      <c r="BE89" s="536"/>
      <c r="BF89" s="536"/>
      <c r="BG89" s="536"/>
      <c r="BH89" s="536"/>
      <c r="BI89" s="536"/>
      <c r="BJ89" s="536"/>
      <c r="BK89" s="536"/>
      <c r="BL89" s="536"/>
      <c r="BM89" s="536"/>
      <c r="BN89" s="536"/>
      <c r="BO89" s="536"/>
      <c r="BP89" s="536"/>
      <c r="BQ89" s="536"/>
      <c r="BR89" s="536"/>
      <c r="BS89" s="536"/>
      <c r="BT89" s="536"/>
    </row>
    <row r="90" spans="1:72" ht="20.100000000000001" customHeight="1">
      <c r="A90" s="1149">
        <v>1</v>
      </c>
      <c r="B90" s="1150" t="s">
        <v>58</v>
      </c>
      <c r="C90" s="1151">
        <v>0.4</v>
      </c>
      <c r="D90" s="1151">
        <v>0.25</v>
      </c>
      <c r="E90" s="1151">
        <v>0.35</v>
      </c>
      <c r="F90" s="8"/>
      <c r="G90" s="8"/>
      <c r="H90" s="327"/>
      <c r="I90" s="536"/>
      <c r="J90" s="536"/>
      <c r="K90" s="536"/>
      <c r="L90" s="536"/>
      <c r="M90" s="536"/>
      <c r="N90" s="536"/>
      <c r="O90" s="536"/>
      <c r="P90" s="536"/>
      <c r="Q90" s="536"/>
      <c r="R90" s="536"/>
      <c r="S90" s="536"/>
      <c r="T90" s="536"/>
      <c r="U90" s="536"/>
      <c r="V90" s="536"/>
      <c r="W90" s="536"/>
      <c r="X90" s="536"/>
      <c r="Y90" s="536"/>
      <c r="Z90" s="536"/>
      <c r="AA90" s="536"/>
      <c r="AB90" s="536"/>
      <c r="AC90" s="536"/>
      <c r="AD90" s="536"/>
      <c r="AE90" s="536"/>
      <c r="AF90" s="536"/>
      <c r="AG90" s="536"/>
      <c r="AH90" s="536"/>
      <c r="AI90" s="536"/>
      <c r="AJ90" s="536"/>
      <c r="AK90" s="536"/>
      <c r="AL90" s="536"/>
      <c r="AM90" s="536"/>
      <c r="AN90" s="536"/>
      <c r="AO90" s="536"/>
      <c r="AP90" s="536"/>
      <c r="AQ90" s="536"/>
      <c r="AR90" s="536"/>
      <c r="AS90" s="536"/>
      <c r="AT90" s="536"/>
      <c r="AU90" s="536"/>
      <c r="AV90" s="536"/>
      <c r="AW90" s="536"/>
      <c r="AX90" s="536"/>
      <c r="AY90" s="536"/>
      <c r="AZ90" s="536"/>
      <c r="BA90" s="536"/>
      <c r="BB90" s="536"/>
      <c r="BC90" s="536"/>
      <c r="BD90" s="536"/>
      <c r="BE90" s="536"/>
      <c r="BF90" s="536"/>
      <c r="BG90" s="536"/>
      <c r="BH90" s="536"/>
      <c r="BI90" s="536"/>
      <c r="BJ90" s="536"/>
      <c r="BK90" s="536"/>
      <c r="BL90" s="536"/>
      <c r="BM90" s="536"/>
      <c r="BN90" s="536"/>
      <c r="BO90" s="536"/>
      <c r="BP90" s="536"/>
      <c r="BQ90" s="536"/>
      <c r="BR90" s="536"/>
      <c r="BS90" s="536"/>
      <c r="BT90" s="536"/>
    </row>
    <row r="91" spans="1:72" ht="20.100000000000001" customHeight="1">
      <c r="A91" s="1149">
        <v>2</v>
      </c>
      <c r="B91" s="1150" t="s">
        <v>59</v>
      </c>
      <c r="C91" s="1152">
        <f ca="1">C90*$C$69</f>
        <v>151374593.55669484</v>
      </c>
      <c r="D91" s="1152">
        <f ca="1">D90*$C$69</f>
        <v>94609120.972934276</v>
      </c>
      <c r="E91" s="1152">
        <f ca="1">E90*$C$69</f>
        <v>132452769.36210798</v>
      </c>
      <c r="F91" s="8"/>
      <c r="G91" s="8"/>
      <c r="H91" s="327"/>
      <c r="I91" s="536"/>
      <c r="J91" s="536"/>
      <c r="K91" s="536"/>
      <c r="L91" s="536"/>
      <c r="M91" s="536"/>
      <c r="N91" s="536"/>
      <c r="O91" s="536"/>
      <c r="P91" s="536"/>
      <c r="Q91" s="536"/>
      <c r="R91" s="536"/>
      <c r="S91" s="536"/>
      <c r="T91" s="536"/>
      <c r="U91" s="536"/>
      <c r="V91" s="536"/>
      <c r="W91" s="536"/>
      <c r="X91" s="536"/>
      <c r="Y91" s="536"/>
      <c r="Z91" s="536"/>
      <c r="AA91" s="536"/>
      <c r="AB91" s="536"/>
      <c r="AC91" s="536"/>
      <c r="AD91" s="536"/>
      <c r="AE91" s="536"/>
      <c r="AF91" s="536"/>
      <c r="AG91" s="536"/>
      <c r="AH91" s="536"/>
      <c r="AI91" s="536"/>
      <c r="AJ91" s="536"/>
      <c r="AK91" s="536"/>
      <c r="AL91" s="536"/>
      <c r="AM91" s="536"/>
      <c r="AN91" s="536"/>
      <c r="AO91" s="536"/>
      <c r="AP91" s="536"/>
      <c r="AQ91" s="536"/>
      <c r="AR91" s="536"/>
      <c r="AS91" s="536"/>
      <c r="AT91" s="536"/>
      <c r="AU91" s="536"/>
      <c r="AV91" s="536"/>
      <c r="AW91" s="536"/>
      <c r="AX91" s="536"/>
      <c r="AY91" s="536"/>
      <c r="AZ91" s="536"/>
      <c r="BA91" s="536"/>
      <c r="BB91" s="536"/>
      <c r="BC91" s="536"/>
      <c r="BD91" s="536"/>
      <c r="BE91" s="536"/>
      <c r="BF91" s="536"/>
      <c r="BG91" s="536"/>
      <c r="BH91" s="536"/>
      <c r="BI91" s="536"/>
      <c r="BJ91" s="536"/>
      <c r="BK91" s="536"/>
      <c r="BL91" s="536"/>
      <c r="BM91" s="536"/>
      <c r="BN91" s="536"/>
      <c r="BO91" s="536"/>
      <c r="BP91" s="536"/>
      <c r="BQ91" s="536"/>
      <c r="BR91" s="536"/>
      <c r="BS91" s="536"/>
      <c r="BT91" s="536"/>
    </row>
    <row r="92" spans="1:72" ht="18.75">
      <c r="A92" s="221"/>
      <c r="B92" s="221"/>
      <c r="C92" s="221"/>
      <c r="D92" s="221"/>
      <c r="E92" s="221"/>
      <c r="F92" s="221"/>
      <c r="G92" s="221"/>
      <c r="H92" s="327"/>
      <c r="I92" s="536"/>
      <c r="J92" s="536"/>
      <c r="K92" s="536"/>
      <c r="L92" s="536"/>
      <c r="M92" s="536"/>
      <c r="N92" s="536"/>
      <c r="O92" s="536"/>
      <c r="P92" s="536"/>
      <c r="Q92" s="536"/>
      <c r="R92" s="536"/>
      <c r="S92" s="536"/>
      <c r="T92" s="536"/>
      <c r="U92" s="536"/>
      <c r="V92" s="536"/>
      <c r="W92" s="536"/>
      <c r="X92" s="536"/>
      <c r="Y92" s="536"/>
      <c r="Z92" s="536"/>
      <c r="AA92" s="536"/>
      <c r="AB92" s="536"/>
      <c r="AC92" s="536"/>
      <c r="AD92" s="536"/>
      <c r="AE92" s="536"/>
      <c r="AF92" s="536"/>
      <c r="AG92" s="536"/>
      <c r="AH92" s="536"/>
      <c r="AI92" s="536"/>
      <c r="AJ92" s="536"/>
      <c r="AK92" s="536"/>
      <c r="AL92" s="536"/>
      <c r="AM92" s="536"/>
      <c r="AN92" s="536"/>
      <c r="AO92" s="536"/>
      <c r="AP92" s="536"/>
      <c r="AQ92" s="536"/>
      <c r="AR92" s="536"/>
      <c r="AS92" s="536"/>
      <c r="AT92" s="536"/>
      <c r="AU92" s="536"/>
      <c r="AV92" s="536"/>
      <c r="AW92" s="536"/>
      <c r="AX92" s="536"/>
      <c r="AY92" s="536"/>
      <c r="AZ92" s="536"/>
      <c r="BA92" s="536"/>
      <c r="BB92" s="536"/>
      <c r="BC92" s="536"/>
      <c r="BD92" s="536"/>
      <c r="BE92" s="536"/>
      <c r="BF92" s="536"/>
      <c r="BG92" s="536"/>
      <c r="BH92" s="536"/>
      <c r="BI92" s="536"/>
      <c r="BJ92" s="536"/>
      <c r="BK92" s="536"/>
      <c r="BL92" s="536"/>
      <c r="BM92" s="536"/>
      <c r="BN92" s="536"/>
      <c r="BO92" s="536"/>
      <c r="BP92" s="536"/>
      <c r="BQ92" s="536"/>
      <c r="BR92" s="536"/>
      <c r="BS92" s="536"/>
      <c r="BT92" s="536"/>
    </row>
    <row r="93" spans="1:72" ht="20.100000000000001" customHeight="1">
      <c r="A93" s="1153" t="s">
        <v>610</v>
      </c>
      <c r="B93" s="6"/>
      <c r="C93" s="8"/>
      <c r="D93" s="8"/>
      <c r="E93" s="8"/>
      <c r="F93" s="8"/>
      <c r="G93" s="221"/>
      <c r="H93" s="327"/>
      <c r="I93" s="536"/>
      <c r="J93" s="536"/>
      <c r="K93" s="536"/>
      <c r="L93" s="536"/>
      <c r="M93" s="536"/>
      <c r="N93" s="536"/>
      <c r="O93" s="536"/>
      <c r="P93" s="536"/>
      <c r="Q93" s="536"/>
      <c r="R93" s="536"/>
      <c r="S93" s="536"/>
      <c r="T93" s="536"/>
      <c r="U93" s="536"/>
      <c r="V93" s="536"/>
      <c r="W93" s="536"/>
      <c r="X93" s="536"/>
      <c r="Y93" s="536"/>
      <c r="Z93" s="536"/>
      <c r="AA93" s="536"/>
      <c r="AB93" s="536"/>
      <c r="AC93" s="536"/>
      <c r="AD93" s="536"/>
      <c r="AE93" s="536"/>
      <c r="AF93" s="536"/>
      <c r="AG93" s="536"/>
      <c r="AH93" s="536"/>
      <c r="AI93" s="536"/>
      <c r="AJ93" s="536"/>
      <c r="AK93" s="536"/>
      <c r="AL93" s="536"/>
      <c r="AM93" s="536"/>
      <c r="AN93" s="536"/>
      <c r="AO93" s="536"/>
      <c r="AP93" s="536"/>
      <c r="AQ93" s="536"/>
      <c r="AR93" s="536"/>
      <c r="AS93" s="536"/>
      <c r="AT93" s="536"/>
      <c r="AU93" s="536"/>
      <c r="AV93" s="536"/>
      <c r="AW93" s="536"/>
      <c r="AX93" s="536"/>
      <c r="AY93" s="536"/>
      <c r="AZ93" s="536"/>
      <c r="BA93" s="536"/>
      <c r="BB93" s="536"/>
      <c r="BC93" s="536"/>
      <c r="BD93" s="536"/>
      <c r="BE93" s="536"/>
      <c r="BF93" s="536"/>
      <c r="BG93" s="536"/>
      <c r="BH93" s="536"/>
      <c r="BI93" s="536"/>
      <c r="BJ93" s="536"/>
      <c r="BK93" s="536"/>
      <c r="BL93" s="536"/>
      <c r="BM93" s="536"/>
      <c r="BN93" s="536"/>
      <c r="BO93" s="536"/>
      <c r="BP93" s="536"/>
      <c r="BQ93" s="536"/>
      <c r="BR93" s="536"/>
      <c r="BS93" s="536"/>
      <c r="BT93" s="536"/>
    </row>
    <row r="94" spans="1:72" ht="20.100000000000001" customHeight="1">
      <c r="A94" s="2512" t="s">
        <v>196</v>
      </c>
      <c r="B94" s="2512" t="s">
        <v>60</v>
      </c>
      <c r="C94" s="1146" t="s">
        <v>865</v>
      </c>
      <c r="D94" s="1146"/>
      <c r="E94" s="1146"/>
      <c r="F94" s="1146"/>
      <c r="G94" s="221"/>
      <c r="H94" s="327"/>
      <c r="I94" s="536"/>
      <c r="J94" s="536"/>
      <c r="K94" s="536"/>
      <c r="L94" s="536"/>
      <c r="M94" s="536"/>
      <c r="N94" s="536"/>
      <c r="O94" s="536"/>
      <c r="P94" s="536"/>
      <c r="Q94" s="536"/>
      <c r="R94" s="536"/>
      <c r="S94" s="536"/>
      <c r="T94" s="536"/>
      <c r="U94" s="536"/>
      <c r="V94" s="536"/>
      <c r="W94" s="536"/>
      <c r="X94" s="536"/>
      <c r="Y94" s="536"/>
      <c r="Z94" s="536"/>
      <c r="AA94" s="536"/>
      <c r="AB94" s="536"/>
      <c r="AC94" s="536"/>
      <c r="AD94" s="536"/>
      <c r="AE94" s="536"/>
      <c r="AF94" s="536"/>
      <c r="AG94" s="536"/>
      <c r="AH94" s="536"/>
      <c r="AI94" s="536"/>
      <c r="AJ94" s="536"/>
      <c r="AK94" s="536"/>
      <c r="AL94" s="536"/>
      <c r="AM94" s="536"/>
      <c r="AN94" s="536"/>
      <c r="AO94" s="536"/>
      <c r="AP94" s="536"/>
      <c r="AQ94" s="536"/>
      <c r="AR94" s="536"/>
      <c r="AS94" s="536"/>
      <c r="AT94" s="536"/>
      <c r="AU94" s="536"/>
      <c r="AV94" s="536"/>
      <c r="AW94" s="536"/>
      <c r="AX94" s="536"/>
      <c r="AY94" s="536"/>
      <c r="AZ94" s="536"/>
      <c r="BA94" s="536"/>
      <c r="BB94" s="536"/>
      <c r="BC94" s="536"/>
      <c r="BD94" s="536"/>
      <c r="BE94" s="536"/>
      <c r="BF94" s="536"/>
      <c r="BG94" s="536"/>
      <c r="BH94" s="536"/>
      <c r="BI94" s="536"/>
      <c r="BJ94" s="536"/>
      <c r="BK94" s="536"/>
      <c r="BL94" s="536"/>
      <c r="BM94" s="536"/>
      <c r="BN94" s="536"/>
      <c r="BO94" s="536"/>
      <c r="BP94" s="536"/>
      <c r="BQ94" s="536"/>
      <c r="BR94" s="536"/>
      <c r="BS94" s="536"/>
      <c r="BT94" s="536"/>
    </row>
    <row r="95" spans="1:72" ht="20.100000000000001" customHeight="1">
      <c r="A95" s="2513"/>
      <c r="B95" s="2513"/>
      <c r="C95" s="1154">
        <v>2017</v>
      </c>
      <c r="D95" s="1154">
        <v>2018</v>
      </c>
      <c r="E95" s="1154">
        <v>2019</v>
      </c>
      <c r="F95" s="1154">
        <v>2020</v>
      </c>
      <c r="G95" s="1148">
        <v>4</v>
      </c>
      <c r="I95" s="536"/>
      <c r="J95" s="536"/>
      <c r="K95" s="536"/>
      <c r="L95" s="536"/>
      <c r="M95" s="536"/>
      <c r="N95" s="536"/>
      <c r="O95" s="536"/>
      <c r="P95" s="536"/>
      <c r="Q95" s="536"/>
      <c r="R95" s="536"/>
      <c r="S95" s="536"/>
      <c r="T95" s="536"/>
      <c r="U95" s="536"/>
      <c r="V95" s="536"/>
      <c r="W95" s="536"/>
      <c r="X95" s="536"/>
      <c r="Y95" s="536"/>
      <c r="Z95" s="536"/>
      <c r="AA95" s="536"/>
      <c r="AB95" s="536"/>
      <c r="AC95" s="536"/>
      <c r="AD95" s="536"/>
      <c r="AE95" s="536"/>
      <c r="AF95" s="536"/>
      <c r="AG95" s="536"/>
      <c r="AH95" s="536"/>
      <c r="AI95" s="536"/>
      <c r="AJ95" s="536"/>
      <c r="AK95" s="536"/>
      <c r="AL95" s="536"/>
      <c r="AM95" s="536"/>
      <c r="AN95" s="536"/>
      <c r="AO95" s="536"/>
      <c r="AP95" s="536"/>
      <c r="AQ95" s="536"/>
      <c r="AR95" s="536"/>
      <c r="AS95" s="536"/>
      <c r="AT95" s="536"/>
      <c r="AU95" s="536"/>
      <c r="AV95" s="536"/>
      <c r="AW95" s="536"/>
      <c r="AX95" s="536"/>
      <c r="AY95" s="536"/>
      <c r="AZ95" s="536"/>
      <c r="BA95" s="536"/>
      <c r="BB95" s="536"/>
      <c r="BC95" s="536"/>
      <c r="BD95" s="536"/>
      <c r="BE95" s="536"/>
      <c r="BF95" s="536"/>
      <c r="BG95" s="536"/>
      <c r="BH95" s="536"/>
      <c r="BI95" s="536"/>
      <c r="BJ95" s="536"/>
      <c r="BK95" s="536"/>
      <c r="BL95" s="536"/>
      <c r="BM95" s="536"/>
      <c r="BN95" s="536"/>
      <c r="BO95" s="536"/>
      <c r="BP95" s="536"/>
      <c r="BQ95" s="536"/>
      <c r="BR95" s="536"/>
      <c r="BS95" s="536"/>
      <c r="BT95" s="536"/>
    </row>
    <row r="96" spans="1:72" ht="37.5">
      <c r="A96" s="1155">
        <v>1</v>
      </c>
      <c r="B96" s="1156" t="s">
        <v>324</v>
      </c>
      <c r="C96" s="1155">
        <v>139</v>
      </c>
      <c r="D96" s="1155">
        <v>140</v>
      </c>
      <c r="E96" s="1155">
        <v>141</v>
      </c>
      <c r="F96" s="1155">
        <v>142</v>
      </c>
      <c r="G96" s="221"/>
      <c r="H96" s="327"/>
      <c r="I96" s="536"/>
      <c r="J96" s="536"/>
      <c r="K96" s="536"/>
      <c r="L96" s="536"/>
      <c r="M96" s="536"/>
      <c r="N96" s="536"/>
      <c r="O96" s="536"/>
      <c r="P96" s="536"/>
      <c r="Q96" s="536"/>
      <c r="R96" s="536"/>
      <c r="S96" s="536"/>
      <c r="T96" s="536"/>
      <c r="U96" s="536"/>
      <c r="V96" s="536"/>
      <c r="W96" s="536"/>
      <c r="X96" s="536"/>
      <c r="Y96" s="536"/>
      <c r="Z96" s="536"/>
      <c r="AA96" s="536"/>
      <c r="AB96" s="536"/>
      <c r="AC96" s="536"/>
      <c r="AD96" s="536"/>
      <c r="AE96" s="536"/>
      <c r="AF96" s="536"/>
      <c r="AG96" s="536"/>
      <c r="AH96" s="536"/>
      <c r="AI96" s="536"/>
      <c r="AJ96" s="536"/>
      <c r="AK96" s="536"/>
      <c r="AL96" s="536"/>
      <c r="AM96" s="536"/>
      <c r="AN96" s="536"/>
      <c r="AO96" s="536"/>
      <c r="AP96" s="536"/>
      <c r="AQ96" s="536"/>
      <c r="AR96" s="536"/>
      <c r="AS96" s="536"/>
      <c r="AT96" s="536"/>
      <c r="AU96" s="536"/>
      <c r="AV96" s="536"/>
      <c r="AW96" s="536"/>
      <c r="AX96" s="536"/>
      <c r="AY96" s="536"/>
      <c r="AZ96" s="536"/>
      <c r="BA96" s="536"/>
      <c r="BB96" s="536"/>
      <c r="BC96" s="536"/>
      <c r="BD96" s="536"/>
      <c r="BE96" s="536"/>
      <c r="BF96" s="536"/>
      <c r="BG96" s="536"/>
      <c r="BH96" s="536"/>
      <c r="BI96" s="536"/>
      <c r="BJ96" s="536"/>
      <c r="BK96" s="536"/>
      <c r="BL96" s="536"/>
      <c r="BM96" s="536"/>
      <c r="BN96" s="536"/>
      <c r="BO96" s="536"/>
      <c r="BP96" s="536"/>
      <c r="BQ96" s="536"/>
      <c r="BR96" s="536"/>
      <c r="BS96" s="536"/>
      <c r="BT96" s="536"/>
    </row>
    <row r="97" spans="1:72" ht="37.5">
      <c r="A97" s="1157">
        <v>2</v>
      </c>
      <c r="B97" s="1158" t="s">
        <v>815</v>
      </c>
      <c r="C97" s="1157"/>
      <c r="D97" s="1159">
        <f>D96/C96</f>
        <v>1.0071942446043165</v>
      </c>
      <c r="E97" s="1159">
        <f>E96/D96</f>
        <v>1.0071428571428571</v>
      </c>
      <c r="F97" s="1159">
        <f>F96/E96</f>
        <v>1.0070921985815602</v>
      </c>
      <c r="G97" s="221"/>
      <c r="H97" s="327"/>
      <c r="I97" s="536"/>
      <c r="J97" s="536"/>
      <c r="K97" s="536"/>
      <c r="L97" s="536"/>
      <c r="M97" s="536"/>
      <c r="N97" s="536"/>
      <c r="O97" s="536"/>
      <c r="P97" s="536"/>
      <c r="Q97" s="536"/>
      <c r="R97" s="536"/>
      <c r="S97" s="536"/>
      <c r="T97" s="536"/>
      <c r="U97" s="536"/>
      <c r="V97" s="536"/>
      <c r="W97" s="536"/>
      <c r="X97" s="536"/>
      <c r="Y97" s="536"/>
      <c r="Z97" s="536"/>
      <c r="AA97" s="536"/>
      <c r="AB97" s="536"/>
      <c r="AC97" s="536"/>
      <c r="AD97" s="536"/>
      <c r="AE97" s="536"/>
      <c r="AF97" s="536"/>
      <c r="AG97" s="536"/>
      <c r="AH97" s="536"/>
      <c r="AI97" s="536"/>
      <c r="AJ97" s="536"/>
      <c r="AK97" s="536"/>
      <c r="AL97" s="536"/>
      <c r="AM97" s="536"/>
      <c r="AN97" s="536"/>
      <c r="AO97" s="536"/>
      <c r="AP97" s="536"/>
      <c r="AQ97" s="536"/>
      <c r="AR97" s="536"/>
      <c r="AS97" s="536"/>
      <c r="AT97" s="536"/>
      <c r="AU97" s="536"/>
      <c r="AV97" s="536"/>
      <c r="AW97" s="536"/>
      <c r="AX97" s="536"/>
      <c r="AY97" s="536"/>
      <c r="AZ97" s="536"/>
      <c r="BA97" s="536"/>
      <c r="BB97" s="536"/>
      <c r="BC97" s="536"/>
      <c r="BD97" s="536"/>
      <c r="BE97" s="536"/>
      <c r="BF97" s="536"/>
      <c r="BG97" s="536"/>
      <c r="BH97" s="536"/>
      <c r="BI97" s="536"/>
      <c r="BJ97" s="536"/>
      <c r="BK97" s="536"/>
      <c r="BL97" s="536"/>
      <c r="BM97" s="536"/>
      <c r="BN97" s="536"/>
      <c r="BO97" s="536"/>
      <c r="BP97" s="536"/>
      <c r="BQ97" s="536"/>
      <c r="BR97" s="536"/>
      <c r="BS97" s="536"/>
      <c r="BT97" s="536"/>
    </row>
    <row r="98" spans="1:72" ht="39">
      <c r="A98" s="1160">
        <v>3</v>
      </c>
      <c r="B98" s="1161" t="s">
        <v>823</v>
      </c>
      <c r="C98" s="1162"/>
      <c r="D98" s="1162"/>
      <c r="E98" s="1162"/>
      <c r="F98" s="1163">
        <f>ROUND(AVERAGE(D97:F97),3)</f>
        <v>1.0069999999999999</v>
      </c>
      <c r="G98" s="221"/>
      <c r="H98" s="327"/>
      <c r="I98" s="536"/>
      <c r="J98" s="536"/>
      <c r="K98" s="536"/>
      <c r="L98" s="536"/>
      <c r="M98" s="536"/>
      <c r="N98" s="536"/>
      <c r="O98" s="536"/>
      <c r="P98" s="536"/>
      <c r="Q98" s="536"/>
      <c r="R98" s="536"/>
      <c r="S98" s="536"/>
      <c r="T98" s="536"/>
      <c r="U98" s="536"/>
      <c r="V98" s="536"/>
      <c r="W98" s="536"/>
      <c r="X98" s="536"/>
      <c r="Y98" s="536"/>
      <c r="Z98" s="536"/>
      <c r="AA98" s="536"/>
      <c r="AB98" s="536"/>
      <c r="AC98" s="536"/>
      <c r="AD98" s="536"/>
      <c r="AE98" s="536"/>
      <c r="AF98" s="536"/>
      <c r="AG98" s="536"/>
      <c r="AH98" s="536"/>
      <c r="AI98" s="536"/>
      <c r="AJ98" s="536"/>
      <c r="AK98" s="536"/>
      <c r="AL98" s="536"/>
      <c r="AM98" s="536"/>
      <c r="AN98" s="536"/>
      <c r="AO98" s="536"/>
      <c r="AP98" s="536"/>
      <c r="AQ98" s="536"/>
      <c r="AR98" s="536"/>
      <c r="AS98" s="536"/>
      <c r="AT98" s="536"/>
      <c r="AU98" s="536"/>
      <c r="AV98" s="536"/>
      <c r="AW98" s="536"/>
      <c r="AX98" s="536"/>
      <c r="AY98" s="536"/>
      <c r="AZ98" s="536"/>
      <c r="BA98" s="536"/>
      <c r="BB98" s="536"/>
      <c r="BC98" s="536"/>
      <c r="BD98" s="536"/>
      <c r="BE98" s="536"/>
      <c r="BF98" s="536"/>
      <c r="BG98" s="536"/>
      <c r="BH98" s="536"/>
      <c r="BI98" s="536"/>
      <c r="BJ98" s="536"/>
      <c r="BK98" s="536"/>
      <c r="BL98" s="536"/>
      <c r="BM98" s="536"/>
      <c r="BN98" s="536"/>
      <c r="BO98" s="536"/>
      <c r="BP98" s="536"/>
      <c r="BQ98" s="536"/>
      <c r="BR98" s="536"/>
      <c r="BS98" s="536"/>
      <c r="BT98" s="536"/>
    </row>
    <row r="99" spans="1:72" ht="18.75">
      <c r="A99" s="221"/>
      <c r="B99" s="221"/>
      <c r="C99" s="221"/>
      <c r="D99" s="221"/>
      <c r="E99" s="221"/>
      <c r="F99" s="221"/>
      <c r="G99" s="221"/>
      <c r="H99" s="327"/>
      <c r="I99" s="536"/>
      <c r="J99" s="536"/>
      <c r="K99" s="536"/>
      <c r="L99" s="536"/>
      <c r="M99" s="536"/>
      <c r="N99" s="536"/>
      <c r="O99" s="536"/>
      <c r="P99" s="536"/>
      <c r="Q99" s="536"/>
      <c r="R99" s="536"/>
      <c r="S99" s="536"/>
      <c r="T99" s="536"/>
      <c r="U99" s="536"/>
      <c r="V99" s="536"/>
      <c r="W99" s="536"/>
      <c r="X99" s="536"/>
      <c r="Y99" s="536"/>
      <c r="Z99" s="536"/>
      <c r="AA99" s="536"/>
      <c r="AB99" s="536"/>
      <c r="AC99" s="536"/>
      <c r="AD99" s="536"/>
      <c r="AE99" s="536"/>
      <c r="AF99" s="536"/>
      <c r="AG99" s="536"/>
      <c r="AH99" s="536"/>
      <c r="AI99" s="536"/>
      <c r="AJ99" s="536"/>
      <c r="AK99" s="536"/>
      <c r="AL99" s="536"/>
      <c r="AM99" s="536"/>
      <c r="AN99" s="536"/>
      <c r="AO99" s="536"/>
      <c r="AP99" s="536"/>
      <c r="AQ99" s="536"/>
      <c r="AR99" s="536"/>
      <c r="AS99" s="536"/>
      <c r="AT99" s="536"/>
      <c r="AU99" s="536"/>
      <c r="AV99" s="536"/>
      <c r="AW99" s="536"/>
      <c r="AX99" s="536"/>
      <c r="AY99" s="536"/>
      <c r="AZ99" s="536"/>
      <c r="BA99" s="536"/>
      <c r="BB99" s="536"/>
      <c r="BC99" s="536"/>
      <c r="BD99" s="536"/>
      <c r="BE99" s="536"/>
      <c r="BF99" s="536"/>
      <c r="BG99" s="536"/>
      <c r="BH99" s="536"/>
      <c r="BI99" s="536"/>
      <c r="BJ99" s="536"/>
      <c r="BK99" s="536"/>
      <c r="BL99" s="536"/>
      <c r="BM99" s="536"/>
      <c r="BN99" s="536"/>
      <c r="BO99" s="536"/>
      <c r="BP99" s="536"/>
      <c r="BQ99" s="536"/>
      <c r="BR99" s="536"/>
      <c r="BS99" s="536"/>
      <c r="BT99" s="536"/>
    </row>
    <row r="100" spans="1:72" ht="20.100000000000001" customHeight="1">
      <c r="A100" s="8" t="s">
        <v>61</v>
      </c>
      <c r="B100" s="8"/>
      <c r="C100" s="8"/>
      <c r="D100" s="8"/>
      <c r="E100" s="8"/>
      <c r="F100" s="327"/>
      <c r="G100" s="327"/>
      <c r="H100" s="327"/>
      <c r="I100" s="536"/>
      <c r="J100" s="536"/>
      <c r="K100" s="536"/>
      <c r="L100" s="536"/>
      <c r="M100" s="536"/>
      <c r="N100" s="536"/>
      <c r="O100" s="536"/>
      <c r="P100" s="536"/>
      <c r="Q100" s="536"/>
      <c r="R100" s="536"/>
      <c r="S100" s="536"/>
      <c r="T100" s="536"/>
      <c r="U100" s="536"/>
      <c r="V100" s="536"/>
      <c r="W100" s="536"/>
      <c r="X100" s="536"/>
      <c r="Y100" s="536"/>
      <c r="Z100" s="536"/>
      <c r="AA100" s="536"/>
      <c r="AB100" s="536"/>
      <c r="AC100" s="536"/>
      <c r="AD100" s="536"/>
      <c r="AE100" s="536"/>
      <c r="AF100" s="536"/>
      <c r="AG100" s="536"/>
      <c r="AH100" s="536"/>
      <c r="AI100" s="536"/>
      <c r="AJ100" s="536"/>
      <c r="AK100" s="536"/>
      <c r="AL100" s="536"/>
      <c r="AM100" s="536"/>
      <c r="AN100" s="536"/>
      <c r="AO100" s="536"/>
      <c r="AP100" s="536"/>
      <c r="AQ100" s="536"/>
      <c r="AR100" s="536"/>
      <c r="AS100" s="536"/>
      <c r="AT100" s="536"/>
      <c r="AU100" s="536"/>
      <c r="AV100" s="536"/>
      <c r="AW100" s="536"/>
      <c r="AX100" s="536"/>
      <c r="AY100" s="536"/>
      <c r="AZ100" s="536"/>
      <c r="BA100" s="536"/>
      <c r="BB100" s="536"/>
      <c r="BC100" s="536"/>
      <c r="BD100" s="536"/>
      <c r="BE100" s="536"/>
      <c r="BF100" s="536"/>
      <c r="BG100" s="536"/>
      <c r="BH100" s="536"/>
      <c r="BI100" s="536"/>
      <c r="BJ100" s="536"/>
      <c r="BK100" s="536"/>
      <c r="BL100" s="536"/>
      <c r="BM100" s="536"/>
      <c r="BN100" s="536"/>
      <c r="BO100" s="536"/>
      <c r="BP100" s="536"/>
      <c r="BQ100" s="536"/>
      <c r="BR100" s="536"/>
      <c r="BS100" s="536"/>
      <c r="BT100" s="536"/>
    </row>
    <row r="101" spans="1:72" ht="20.100000000000001" customHeight="1">
      <c r="A101" s="2512" t="s">
        <v>196</v>
      </c>
      <c r="B101" s="2512" t="s">
        <v>57</v>
      </c>
      <c r="C101" s="1146" t="s">
        <v>835</v>
      </c>
      <c r="D101" s="1146"/>
      <c r="E101" s="1146"/>
      <c r="F101" s="327"/>
      <c r="G101" s="327"/>
      <c r="H101" s="327"/>
      <c r="I101" s="536"/>
      <c r="J101" s="536"/>
      <c r="K101" s="536"/>
      <c r="L101" s="536"/>
      <c r="M101" s="536"/>
      <c r="N101" s="536"/>
      <c r="O101" s="536"/>
      <c r="P101" s="536"/>
      <c r="Q101" s="536"/>
      <c r="R101" s="536"/>
      <c r="S101" s="536"/>
      <c r="T101" s="536"/>
      <c r="U101" s="536"/>
      <c r="V101" s="536"/>
      <c r="W101" s="536"/>
      <c r="X101" s="536"/>
      <c r="Y101" s="536"/>
      <c r="Z101" s="536"/>
      <c r="AA101" s="536"/>
      <c r="AB101" s="536"/>
      <c r="AC101" s="536"/>
      <c r="AD101" s="536"/>
      <c r="AE101" s="536"/>
      <c r="AF101" s="536"/>
      <c r="AG101" s="536"/>
      <c r="AH101" s="536"/>
      <c r="AI101" s="536"/>
      <c r="AJ101" s="536"/>
      <c r="AK101" s="536"/>
      <c r="AL101" s="536"/>
      <c r="AM101" s="536"/>
      <c r="AN101" s="536"/>
      <c r="AO101" s="536"/>
      <c r="AP101" s="536"/>
      <c r="AQ101" s="536"/>
      <c r="AR101" s="536"/>
      <c r="AS101" s="536"/>
      <c r="AT101" s="536"/>
      <c r="AU101" s="536"/>
      <c r="AV101" s="536"/>
      <c r="AW101" s="536"/>
      <c r="AX101" s="536"/>
      <c r="AY101" s="536"/>
      <c r="AZ101" s="536"/>
      <c r="BA101" s="536"/>
      <c r="BB101" s="536"/>
      <c r="BC101" s="536"/>
      <c r="BD101" s="536"/>
      <c r="BE101" s="536"/>
      <c r="BF101" s="536"/>
      <c r="BG101" s="536"/>
      <c r="BH101" s="536"/>
      <c r="BI101" s="536"/>
      <c r="BJ101" s="536"/>
      <c r="BK101" s="536"/>
      <c r="BL101" s="536"/>
      <c r="BM101" s="536"/>
      <c r="BN101" s="536"/>
      <c r="BO101" s="536"/>
      <c r="BP101" s="536"/>
      <c r="BQ101" s="536"/>
      <c r="BR101" s="536"/>
      <c r="BS101" s="536"/>
      <c r="BT101" s="536"/>
    </row>
    <row r="102" spans="1:72" ht="20.100000000000001" customHeight="1">
      <c r="A102" s="2513"/>
      <c r="B102" s="2513"/>
      <c r="C102" s="1154">
        <v>1</v>
      </c>
      <c r="D102" s="1154">
        <v>2</v>
      </c>
      <c r="E102" s="1154">
        <v>3</v>
      </c>
      <c r="F102" s="327"/>
      <c r="G102" s="327"/>
      <c r="I102" s="536"/>
      <c r="J102" s="536"/>
      <c r="K102" s="536"/>
      <c r="L102" s="536"/>
      <c r="M102" s="536"/>
      <c r="N102" s="536"/>
      <c r="O102" s="536"/>
      <c r="P102" s="536"/>
      <c r="Q102" s="536"/>
      <c r="R102" s="536"/>
      <c r="S102" s="536"/>
      <c r="T102" s="536"/>
      <c r="U102" s="536"/>
      <c r="V102" s="536"/>
      <c r="W102" s="536"/>
      <c r="X102" s="536"/>
      <c r="Y102" s="536"/>
      <c r="Z102" s="536"/>
      <c r="AA102" s="536"/>
      <c r="AB102" s="536"/>
      <c r="AC102" s="536"/>
      <c r="AD102" s="536"/>
      <c r="AE102" s="536"/>
      <c r="AF102" s="536"/>
      <c r="AG102" s="536"/>
      <c r="AH102" s="536"/>
      <c r="AI102" s="536"/>
      <c r="AJ102" s="536"/>
      <c r="AK102" s="536"/>
      <c r="AL102" s="536"/>
      <c r="AM102" s="536"/>
      <c r="AN102" s="536"/>
      <c r="AO102" s="536"/>
      <c r="AP102" s="536"/>
      <c r="AQ102" s="536"/>
      <c r="AR102" s="536"/>
      <c r="AS102" s="536"/>
      <c r="AT102" s="536"/>
      <c r="AU102" s="536"/>
      <c r="AV102" s="536"/>
      <c r="AW102" s="536"/>
      <c r="AX102" s="536"/>
      <c r="AY102" s="536"/>
      <c r="AZ102" s="536"/>
      <c r="BA102" s="536"/>
      <c r="BB102" s="536"/>
      <c r="BC102" s="536"/>
      <c r="BD102" s="536"/>
      <c r="BE102" s="536"/>
      <c r="BF102" s="536"/>
      <c r="BG102" s="536"/>
      <c r="BH102" s="536"/>
      <c r="BI102" s="536"/>
      <c r="BJ102" s="536"/>
      <c r="BK102" s="536"/>
      <c r="BL102" s="536"/>
      <c r="BM102" s="536"/>
      <c r="BN102" s="536"/>
      <c r="BO102" s="536"/>
      <c r="BP102" s="536"/>
      <c r="BQ102" s="536"/>
      <c r="BR102" s="536"/>
      <c r="BS102" s="536"/>
      <c r="BT102" s="536"/>
    </row>
    <row r="103" spans="1:72" ht="37.5">
      <c r="A103" s="1164">
        <v>1</v>
      </c>
      <c r="B103" s="1165" t="s">
        <v>824</v>
      </c>
      <c r="C103" s="1166">
        <f ca="1">C91</f>
        <v>151374593.55669484</v>
      </c>
      <c r="D103" s="1166">
        <f ca="1">D91</f>
        <v>94609120.972934276</v>
      </c>
      <c r="E103" s="1166">
        <f ca="1">E91</f>
        <v>132452769.36210798</v>
      </c>
      <c r="F103" s="327"/>
      <c r="G103" s="327"/>
      <c r="H103" s="327"/>
      <c r="I103" s="536"/>
      <c r="J103" s="536"/>
      <c r="K103" s="536"/>
      <c r="L103" s="536"/>
      <c r="M103" s="536"/>
      <c r="N103" s="536"/>
      <c r="O103" s="536"/>
      <c r="P103" s="536"/>
      <c r="Q103" s="536"/>
      <c r="R103" s="536"/>
      <c r="S103" s="536"/>
      <c r="T103" s="536"/>
      <c r="U103" s="536"/>
      <c r="V103" s="536"/>
      <c r="W103" s="536"/>
      <c r="X103" s="536"/>
      <c r="Y103" s="536"/>
      <c r="Z103" s="536"/>
      <c r="AA103" s="536"/>
      <c r="AB103" s="536"/>
      <c r="AC103" s="536"/>
      <c r="AD103" s="536"/>
      <c r="AE103" s="536"/>
      <c r="AF103" s="536"/>
      <c r="AG103" s="536"/>
      <c r="AH103" s="536"/>
      <c r="AI103" s="536"/>
      <c r="AJ103" s="536"/>
      <c r="AK103" s="536"/>
      <c r="AL103" s="536"/>
      <c r="AM103" s="536"/>
      <c r="AN103" s="536"/>
      <c r="AO103" s="536"/>
      <c r="AP103" s="536"/>
      <c r="AQ103" s="536"/>
      <c r="AR103" s="536"/>
      <c r="AS103" s="536"/>
      <c r="AT103" s="536"/>
      <c r="AU103" s="536"/>
      <c r="AV103" s="536"/>
      <c r="AW103" s="536"/>
      <c r="AX103" s="536"/>
      <c r="AY103" s="536"/>
      <c r="AZ103" s="536"/>
      <c r="BA103" s="536"/>
      <c r="BB103" s="536"/>
      <c r="BC103" s="536"/>
      <c r="BD103" s="536"/>
      <c r="BE103" s="536"/>
      <c r="BF103" s="536"/>
      <c r="BG103" s="536"/>
      <c r="BH103" s="536"/>
      <c r="BI103" s="536"/>
      <c r="BJ103" s="536"/>
      <c r="BK103" s="536"/>
      <c r="BL103" s="536"/>
      <c r="BM103" s="536"/>
      <c r="BN103" s="536"/>
      <c r="BO103" s="536"/>
      <c r="BP103" s="536"/>
      <c r="BQ103" s="536"/>
      <c r="BR103" s="536"/>
      <c r="BS103" s="536"/>
      <c r="BT103" s="536"/>
    </row>
    <row r="104" spans="1:72" ht="37.15" customHeight="1">
      <c r="A104" s="1157">
        <v>2</v>
      </c>
      <c r="B104" s="1158" t="s">
        <v>825</v>
      </c>
      <c r="C104" s="1167">
        <f ca="1">C103*((F98+F85)^C102)</f>
        <v>152434215.71159169</v>
      </c>
      <c r="D104" s="1167">
        <f ca="1">D103*((F98+F85)^D102)</f>
        <v>95938284.513483003</v>
      </c>
      <c r="E104" s="1167">
        <f ca="1">E103*((F98+F85)^E102)</f>
        <v>135253793.5071083</v>
      </c>
      <c r="F104" s="327"/>
      <c r="G104" s="327"/>
      <c r="H104" s="327"/>
      <c r="I104" s="536"/>
      <c r="J104" s="536"/>
      <c r="K104" s="536"/>
      <c r="L104" s="536"/>
      <c r="M104" s="536"/>
      <c r="N104" s="536"/>
      <c r="O104" s="536"/>
      <c r="P104" s="536"/>
      <c r="Q104" s="536"/>
      <c r="R104" s="536"/>
      <c r="S104" s="536"/>
      <c r="T104" s="536"/>
      <c r="U104" s="536"/>
      <c r="V104" s="536"/>
      <c r="W104" s="536"/>
      <c r="X104" s="536"/>
      <c r="Y104" s="536"/>
      <c r="Z104" s="536"/>
      <c r="AA104" s="536"/>
      <c r="AB104" s="536"/>
      <c r="AC104" s="536"/>
      <c r="AD104" s="536"/>
      <c r="AE104" s="536"/>
      <c r="AF104" s="536"/>
      <c r="AG104" s="536"/>
      <c r="AH104" s="536"/>
      <c r="AI104" s="536"/>
      <c r="AJ104" s="536"/>
      <c r="AK104" s="536"/>
      <c r="AL104" s="536"/>
      <c r="AM104" s="536"/>
      <c r="AN104" s="536"/>
      <c r="AO104" s="536"/>
      <c r="AP104" s="536"/>
      <c r="AQ104" s="536"/>
      <c r="AR104" s="536"/>
      <c r="AS104" s="536"/>
      <c r="AT104" s="536"/>
      <c r="AU104" s="536"/>
      <c r="AV104" s="536"/>
      <c r="AW104" s="536"/>
      <c r="AX104" s="536"/>
      <c r="AY104" s="536"/>
      <c r="AZ104" s="536"/>
      <c r="BA104" s="536"/>
      <c r="BB104" s="536"/>
      <c r="BC104" s="536"/>
      <c r="BD104" s="536"/>
      <c r="BE104" s="536"/>
      <c r="BF104" s="536"/>
      <c r="BG104" s="536"/>
      <c r="BH104" s="536"/>
      <c r="BI104" s="536"/>
      <c r="BJ104" s="536"/>
      <c r="BK104" s="536"/>
      <c r="BL104" s="536"/>
      <c r="BM104" s="536"/>
      <c r="BN104" s="536"/>
      <c r="BO104" s="536"/>
      <c r="BP104" s="536"/>
      <c r="BQ104" s="536"/>
      <c r="BR104" s="536"/>
      <c r="BS104" s="536"/>
      <c r="BT104" s="536"/>
    </row>
    <row r="105" spans="1:72" ht="20.100000000000001" customHeight="1">
      <c r="A105" s="1157">
        <v>3</v>
      </c>
      <c r="B105" s="1158" t="s">
        <v>826</v>
      </c>
      <c r="C105" s="1167">
        <f ca="1">C103*((F98+F85)^C102-1)</f>
        <v>1059622.1548968479</v>
      </c>
      <c r="D105" s="1167">
        <f ca="1">D103*((F98+F85)^D102-1)</f>
        <v>1329163.5405487306</v>
      </c>
      <c r="E105" s="1167">
        <f ca="1">E103*((F98+F85)^E102-1)</f>
        <v>2801024.1450003278</v>
      </c>
      <c r="F105" s="327"/>
      <c r="G105" s="327"/>
      <c r="H105" s="327"/>
      <c r="I105" s="536"/>
      <c r="J105" s="536"/>
      <c r="K105" s="536"/>
      <c r="L105" s="536"/>
      <c r="M105" s="536"/>
      <c r="N105" s="536"/>
      <c r="O105" s="536"/>
      <c r="P105" s="536"/>
      <c r="Q105" s="536"/>
      <c r="R105" s="536"/>
      <c r="S105" s="536"/>
      <c r="T105" s="536"/>
      <c r="U105" s="536"/>
      <c r="V105" s="536"/>
      <c r="W105" s="536"/>
      <c r="X105" s="536"/>
      <c r="Y105" s="536"/>
      <c r="Z105" s="536"/>
      <c r="AA105" s="536"/>
      <c r="AB105" s="536"/>
      <c r="AC105" s="536"/>
      <c r="AD105" s="536"/>
      <c r="AE105" s="536"/>
      <c r="AF105" s="536"/>
      <c r="AG105" s="536"/>
      <c r="AH105" s="536"/>
      <c r="AI105" s="536"/>
      <c r="AJ105" s="536"/>
      <c r="AK105" s="536"/>
      <c r="AL105" s="536"/>
      <c r="AM105" s="536"/>
      <c r="AN105" s="536"/>
      <c r="AO105" s="536"/>
      <c r="AP105" s="536"/>
      <c r="AQ105" s="536"/>
      <c r="AR105" s="536"/>
      <c r="AS105" s="536"/>
      <c r="AT105" s="536"/>
      <c r="AU105" s="536"/>
      <c r="AV105" s="536"/>
      <c r="AW105" s="536"/>
      <c r="AX105" s="536"/>
      <c r="AY105" s="536"/>
      <c r="AZ105" s="536"/>
      <c r="BA105" s="536"/>
      <c r="BB105" s="536"/>
      <c r="BC105" s="536"/>
      <c r="BD105" s="536"/>
      <c r="BE105" s="536"/>
      <c r="BF105" s="536"/>
      <c r="BG105" s="536"/>
      <c r="BH105" s="536"/>
      <c r="BI105" s="536"/>
      <c r="BJ105" s="536"/>
      <c r="BK105" s="536"/>
      <c r="BL105" s="536"/>
      <c r="BM105" s="536"/>
      <c r="BN105" s="536"/>
      <c r="BO105" s="536"/>
      <c r="BP105" s="536"/>
      <c r="BQ105" s="536"/>
      <c r="BR105" s="536"/>
      <c r="BS105" s="536"/>
      <c r="BT105" s="536"/>
    </row>
    <row r="106" spans="1:72" ht="20.100000000000001" customHeight="1">
      <c r="A106" s="1160">
        <v>4</v>
      </c>
      <c r="B106" s="1161" t="s">
        <v>810</v>
      </c>
      <c r="C106" s="1168">
        <f ca="1">C105</f>
        <v>1059622.1548968479</v>
      </c>
      <c r="D106" s="1168">
        <f ca="1">C106+D105</f>
        <v>2388785.6954455785</v>
      </c>
      <c r="E106" s="1168">
        <f ca="1">D106+E105</f>
        <v>5189809.8404459059</v>
      </c>
      <c r="F106" s="327"/>
      <c r="G106" s="327"/>
      <c r="H106" s="327"/>
      <c r="I106" s="794">
        <f ca="1">CPDP_GDP1-CPDP_PS1</f>
        <v>5189809.8404459059</v>
      </c>
      <c r="J106" s="536"/>
      <c r="K106" s="536"/>
      <c r="L106" s="536"/>
      <c r="M106" s="536"/>
      <c r="N106" s="536"/>
      <c r="O106" s="536"/>
      <c r="P106" s="536"/>
      <c r="Q106" s="536"/>
      <c r="R106" s="536"/>
      <c r="S106" s="536"/>
      <c r="T106" s="536"/>
      <c r="U106" s="536"/>
      <c r="V106" s="536"/>
      <c r="W106" s="536"/>
      <c r="X106" s="536"/>
      <c r="Y106" s="536"/>
      <c r="Z106" s="536"/>
      <c r="AA106" s="536"/>
      <c r="AB106" s="536"/>
      <c r="AC106" s="536"/>
      <c r="AD106" s="536"/>
      <c r="AE106" s="536"/>
      <c r="AF106" s="536"/>
      <c r="AG106" s="536"/>
      <c r="AH106" s="536"/>
      <c r="AI106" s="536"/>
      <c r="AJ106" s="536"/>
      <c r="AK106" s="536"/>
      <c r="AL106" s="536"/>
      <c r="AM106" s="536"/>
      <c r="AN106" s="536"/>
      <c r="AO106" s="536"/>
      <c r="AP106" s="536"/>
      <c r="AQ106" s="536"/>
      <c r="AR106" s="536"/>
      <c r="AS106" s="536"/>
      <c r="AT106" s="536"/>
      <c r="AU106" s="536"/>
      <c r="AV106" s="536"/>
      <c r="AW106" s="536"/>
      <c r="AX106" s="536"/>
      <c r="AY106" s="536"/>
      <c r="AZ106" s="536"/>
      <c r="BA106" s="536"/>
      <c r="BB106" s="536"/>
      <c r="BC106" s="536"/>
      <c r="BD106" s="536"/>
      <c r="BE106" s="536"/>
      <c r="BF106" s="536"/>
      <c r="BG106" s="536"/>
      <c r="BH106" s="536"/>
      <c r="BI106" s="536"/>
      <c r="BJ106" s="536"/>
      <c r="BK106" s="536"/>
      <c r="BL106" s="536"/>
      <c r="BM106" s="536"/>
      <c r="BN106" s="536"/>
      <c r="BO106" s="536"/>
      <c r="BP106" s="536"/>
      <c r="BQ106" s="536"/>
      <c r="BR106" s="536"/>
      <c r="BS106" s="536"/>
      <c r="BT106" s="536"/>
    </row>
    <row r="107" spans="1:72" ht="18.75">
      <c r="A107" s="324"/>
      <c r="B107" s="324"/>
      <c r="C107" s="324"/>
      <c r="D107" s="324"/>
      <c r="E107" s="324"/>
      <c r="F107" s="324"/>
      <c r="G107" s="324"/>
      <c r="H107" s="324"/>
    </row>
    <row r="108" spans="1:72" ht="20.25">
      <c r="A108" s="324"/>
      <c r="B108" s="1169"/>
      <c r="C108" s="1143" t="s">
        <v>833</v>
      </c>
      <c r="D108" s="2514">
        <f ca="1">C72+E106</f>
        <v>24111634.03503276</v>
      </c>
      <c r="E108" s="2514"/>
      <c r="F108" s="324"/>
      <c r="G108" s="324"/>
      <c r="H108" s="324"/>
    </row>
    <row r="109" spans="1:72" ht="18.75">
      <c r="A109" s="324"/>
      <c r="B109" s="1169"/>
      <c r="C109" s="1143" t="s">
        <v>827</v>
      </c>
      <c r="D109" s="1181">
        <f ca="1">ROUND(IFERROR(D108/C69,0)-E72,2)</f>
        <v>0.01</v>
      </c>
      <c r="E109" s="1175"/>
      <c r="F109" s="324"/>
      <c r="G109" s="324"/>
      <c r="H109" s="324"/>
    </row>
    <row r="110" spans="1:72" ht="18.75">
      <c r="A110" s="324"/>
      <c r="B110" s="1169"/>
      <c r="C110" s="1179" t="s">
        <v>832</v>
      </c>
      <c r="D110" s="1174">
        <f ca="1">ROUND(IFERROR(CPDP_GDP1/CPDP_CP1,0),2)</f>
        <v>0.06</v>
      </c>
      <c r="E110" s="1170"/>
      <c r="F110" s="324"/>
      <c r="G110" s="324"/>
      <c r="H110" s="324"/>
    </row>
    <row r="111" spans="1:72" ht="18.75">
      <c r="A111" s="324"/>
      <c r="B111" s="324"/>
      <c r="C111" s="1171"/>
      <c r="D111" s="324"/>
      <c r="E111" s="324"/>
      <c r="F111" s="324"/>
      <c r="G111" s="324"/>
      <c r="H111" s="324"/>
    </row>
    <row r="112" spans="1:72" ht="18.75">
      <c r="A112" s="227" t="s">
        <v>55</v>
      </c>
      <c r="B112" s="324"/>
      <c r="C112" s="324"/>
      <c r="D112" s="324"/>
      <c r="E112" s="324"/>
      <c r="F112" s="324"/>
      <c r="G112" s="324"/>
      <c r="H112" s="324"/>
    </row>
    <row r="113" spans="1:8" ht="18.75">
      <c r="A113" s="324" t="s">
        <v>834</v>
      </c>
      <c r="B113" s="324"/>
      <c r="C113" s="324"/>
      <c r="D113" s="324"/>
      <c r="E113" s="324"/>
      <c r="F113" s="324"/>
      <c r="G113" s="324"/>
      <c r="H113" s="324"/>
    </row>
    <row r="114" spans="1:8" ht="18.75">
      <c r="A114" s="324" t="s">
        <v>820</v>
      </c>
      <c r="B114" s="324"/>
      <c r="C114" s="324"/>
      <c r="D114" s="324"/>
      <c r="E114" s="324"/>
      <c r="F114" s="324"/>
      <c r="G114" s="324"/>
      <c r="H114" s="324"/>
    </row>
    <row r="115" spans="1:8" ht="18.75">
      <c r="A115" s="324"/>
      <c r="B115" s="324"/>
      <c r="C115" s="324"/>
      <c r="D115" s="324"/>
      <c r="E115" s="324"/>
      <c r="F115" s="324"/>
      <c r="G115" s="324"/>
      <c r="H115" s="324"/>
    </row>
    <row r="116" spans="1:8" ht="18.75">
      <c r="A116" s="324"/>
      <c r="B116" s="324"/>
      <c r="C116" s="324"/>
      <c r="D116" s="324"/>
      <c r="E116" s="324"/>
      <c r="F116" s="324"/>
      <c r="G116" s="324"/>
      <c r="H116" s="324"/>
    </row>
    <row r="117" spans="1:8" ht="22.5">
      <c r="A117" s="257" t="s">
        <v>372</v>
      </c>
      <c r="B117" s="8"/>
      <c r="C117" s="8"/>
      <c r="D117" s="8"/>
      <c r="E117" s="287"/>
      <c r="F117" s="287"/>
      <c r="G117" s="324"/>
      <c r="H117" s="324"/>
    </row>
    <row r="118" spans="1:8" ht="18.75">
      <c r="A118"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118" s="28"/>
      <c r="C118" s="28"/>
      <c r="D118" s="28"/>
      <c r="E118" s="1172"/>
      <c r="F118" s="1172"/>
      <c r="G118" s="324"/>
      <c r="H118" s="324"/>
    </row>
    <row r="119" spans="1:8" ht="18.75">
      <c r="A119" s="1019" t="str">
        <f>'Bia-Dutoan'!D43&amp;'Bia-Dutoan'!E43</f>
        <v>CÔNG TRÌNH: NHÀ 01 TẦNG, TƯỜNG CHỊU LỰC 110MM, MÁI LỢP FIBRÔXIMĂNG, KHÔNG CÓ KHU VỆ SINH KHÉP KÍN</v>
      </c>
      <c r="B119" s="28"/>
      <c r="C119" s="28"/>
      <c r="D119" s="28"/>
      <c r="E119" s="1172"/>
      <c r="F119" s="1172"/>
      <c r="G119" s="324"/>
      <c r="H119" s="324"/>
    </row>
    <row r="120" spans="1:8" ht="18.75">
      <c r="A120" s="221"/>
      <c r="B120" s="221"/>
      <c r="C120" s="325"/>
      <c r="D120" s="739"/>
      <c r="E120" s="221"/>
      <c r="F120" s="221"/>
      <c r="G120" s="221"/>
      <c r="H120" s="221"/>
    </row>
    <row r="121" spans="1:8" ht="21.75">
      <c r="A121" s="324"/>
      <c r="B121" s="1180" t="s">
        <v>1027</v>
      </c>
      <c r="C121" s="1139">
        <f ca="1">'TH DTXD'!H8</f>
        <v>378436483.8917371</v>
      </c>
      <c r="D121" s="221"/>
      <c r="E121" s="221"/>
      <c r="F121" s="221"/>
      <c r="G121" s="221"/>
      <c r="H121" s="324"/>
    </row>
    <row r="122" spans="1:8" ht="18.75">
      <c r="A122" s="113"/>
      <c r="B122" s="324"/>
      <c r="C122" s="324"/>
      <c r="D122" s="1140"/>
      <c r="E122" s="1140"/>
      <c r="F122" s="1140"/>
      <c r="G122" s="1140"/>
      <c r="H122" s="324"/>
    </row>
    <row r="123" spans="1:8" ht="20.25">
      <c r="A123" s="1140" t="s">
        <v>829</v>
      </c>
      <c r="B123" s="6"/>
      <c r="C123" s="8"/>
      <c r="D123" s="8"/>
      <c r="E123" s="8"/>
      <c r="F123" s="8"/>
      <c r="G123" s="8"/>
      <c r="H123" s="324"/>
    </row>
    <row r="124" spans="1:8" ht="20.25">
      <c r="A124" s="8"/>
      <c r="B124" s="1143" t="s">
        <v>828</v>
      </c>
      <c r="C124" s="1142">
        <f ca="1">$E$124*C121</f>
        <v>18921824.194586854</v>
      </c>
      <c r="D124" s="1143" t="s">
        <v>822</v>
      </c>
      <c r="E124" s="1144">
        <v>0.05</v>
      </c>
      <c r="F124" s="324"/>
      <c r="G124" s="1140"/>
      <c r="H124" s="324"/>
    </row>
    <row r="125" spans="1:8" ht="20.25">
      <c r="A125" s="1140" t="s">
        <v>830</v>
      </c>
      <c r="B125" s="6"/>
      <c r="C125" s="8"/>
      <c r="D125" s="8"/>
      <c r="E125" s="8"/>
      <c r="F125" s="8"/>
      <c r="G125" s="8"/>
      <c r="H125" s="324"/>
    </row>
    <row r="126" spans="1:8" ht="24.6" customHeight="1">
      <c r="A126" s="1145"/>
      <c r="B126" s="790" t="s">
        <v>1024</v>
      </c>
      <c r="C126" s="8"/>
      <c r="D126" s="8"/>
      <c r="E126" s="8"/>
      <c r="F126" s="8"/>
      <c r="G126" s="8"/>
      <c r="H126" s="324"/>
    </row>
    <row r="127" spans="1:8" ht="18.75">
      <c r="A127" s="739" t="s">
        <v>1019</v>
      </c>
      <c r="B127" s="6"/>
      <c r="C127" s="8"/>
      <c r="D127" s="8"/>
      <c r="E127" s="8"/>
      <c r="F127" s="8"/>
      <c r="G127" s="8"/>
      <c r="H127" s="324"/>
    </row>
    <row r="128" spans="1:8" ht="18.75">
      <c r="A128" s="739" t="s">
        <v>1020</v>
      </c>
      <c r="B128" s="6"/>
      <c r="C128" s="8"/>
      <c r="D128" s="8"/>
      <c r="E128" s="8"/>
      <c r="F128" s="8"/>
      <c r="G128" s="8"/>
      <c r="H128" s="324"/>
    </row>
    <row r="129" spans="1:72" ht="22.5">
      <c r="A129" s="739" t="s">
        <v>1026</v>
      </c>
      <c r="B129" s="221"/>
      <c r="C129" s="221"/>
      <c r="D129" s="8"/>
      <c r="E129" s="8"/>
      <c r="F129" s="221"/>
      <c r="G129" s="221"/>
      <c r="H129" s="324"/>
    </row>
    <row r="130" spans="1:72" s="324" customFormat="1" ht="20.100000000000001" customHeight="1">
      <c r="A130" s="739" t="s">
        <v>816</v>
      </c>
      <c r="B130" s="221"/>
      <c r="C130" s="221"/>
      <c r="D130" s="8"/>
      <c r="E130" s="8"/>
      <c r="F130" s="221"/>
    </row>
    <row r="131" spans="1:72" s="324" customFormat="1" ht="20.100000000000001" customHeight="1">
      <c r="A131" s="739"/>
      <c r="B131" s="221"/>
      <c r="C131" s="221"/>
      <c r="D131" s="8"/>
      <c r="E131" s="8"/>
      <c r="F131" s="221"/>
    </row>
    <row r="132" spans="1:72" s="324" customFormat="1" ht="26.45" customHeight="1">
      <c r="A132" s="739"/>
      <c r="B132" s="221"/>
      <c r="C132" s="221"/>
      <c r="D132" s="8"/>
      <c r="E132" s="8"/>
      <c r="F132" s="221"/>
    </row>
    <row r="133" spans="1:72" s="324" customFormat="1" ht="26.45" customHeight="1">
      <c r="A133" s="1177" t="s">
        <v>817</v>
      </c>
      <c r="B133" s="221"/>
      <c r="C133" s="221"/>
      <c r="D133" s="8"/>
      <c r="E133" s="8"/>
      <c r="F133" s="221"/>
    </row>
    <row r="134" spans="1:72" s="324" customFormat="1" ht="26.45" customHeight="1">
      <c r="A134" s="1178" t="s">
        <v>866</v>
      </c>
      <c r="B134" s="221"/>
      <c r="C134" s="221"/>
      <c r="D134" s="8"/>
      <c r="E134" s="8"/>
      <c r="F134" s="221"/>
    </row>
    <row r="135" spans="1:72" s="324" customFormat="1" ht="26.45" customHeight="1">
      <c r="A135" s="1178" t="s">
        <v>818</v>
      </c>
      <c r="B135" s="221"/>
      <c r="C135" s="221"/>
      <c r="D135" s="8"/>
      <c r="E135" s="8"/>
      <c r="F135" s="221"/>
    </row>
    <row r="136" spans="1:72" s="324" customFormat="1" ht="26.45" customHeight="1">
      <c r="A136" s="1178" t="s">
        <v>819</v>
      </c>
      <c r="B136" s="221"/>
      <c r="C136" s="221"/>
      <c r="D136" s="8"/>
      <c r="E136" s="8"/>
      <c r="F136" s="221"/>
    </row>
    <row r="137" spans="1:72" ht="59.45" customHeight="1">
      <c r="A137" s="2515" t="s">
        <v>1023</v>
      </c>
      <c r="B137" s="2516"/>
      <c r="C137" s="2516"/>
      <c r="D137" s="2516"/>
      <c r="E137" s="2517"/>
      <c r="F137" s="1176">
        <f>F85</f>
        <v>0</v>
      </c>
      <c r="G137" s="324"/>
      <c r="H137" s="324"/>
    </row>
    <row r="138" spans="1:72" ht="32.25" customHeight="1">
      <c r="A138" s="221"/>
      <c r="B138" s="221"/>
      <c r="C138" s="221"/>
      <c r="D138" s="221"/>
      <c r="E138" s="221"/>
      <c r="F138" s="221"/>
      <c r="G138" s="221"/>
      <c r="H138" s="324"/>
    </row>
    <row r="139" spans="1:72" ht="18.75">
      <c r="A139" s="8" t="s">
        <v>56</v>
      </c>
      <c r="B139" s="6"/>
      <c r="C139" s="8"/>
      <c r="D139" s="8"/>
      <c r="E139" s="8"/>
      <c r="F139" s="221"/>
      <c r="G139" s="221"/>
      <c r="H139" s="324"/>
    </row>
    <row r="140" spans="1:72" ht="18.75">
      <c r="A140" s="2518" t="s">
        <v>196</v>
      </c>
      <c r="B140" s="2518" t="s">
        <v>57</v>
      </c>
      <c r="C140" s="1146" t="s">
        <v>835</v>
      </c>
      <c r="D140" s="1146"/>
      <c r="E140" s="1146"/>
      <c r="F140" s="221"/>
      <c r="G140" s="221"/>
      <c r="H140" s="327"/>
      <c r="I140" s="536"/>
      <c r="J140" s="536"/>
      <c r="K140" s="536"/>
      <c r="L140" s="536"/>
      <c r="M140" s="536"/>
      <c r="N140" s="536"/>
      <c r="O140" s="536"/>
      <c r="P140" s="536"/>
      <c r="Q140" s="536"/>
      <c r="R140" s="536"/>
      <c r="S140" s="536"/>
      <c r="T140" s="536"/>
      <c r="U140" s="536"/>
      <c r="V140" s="536"/>
      <c r="W140" s="536"/>
      <c r="X140" s="536"/>
      <c r="Y140" s="536"/>
      <c r="Z140" s="536"/>
      <c r="AA140" s="536"/>
      <c r="AB140" s="536"/>
      <c r="AC140" s="536"/>
      <c r="AD140" s="536"/>
      <c r="AE140" s="536"/>
      <c r="AF140" s="536"/>
      <c r="AG140" s="536"/>
      <c r="AH140" s="536"/>
      <c r="AI140" s="536"/>
      <c r="AJ140" s="536"/>
      <c r="AK140" s="536"/>
      <c r="AL140" s="536"/>
      <c r="AM140" s="536"/>
      <c r="AN140" s="536"/>
      <c r="AO140" s="536"/>
      <c r="AP140" s="536"/>
      <c r="AQ140" s="536"/>
      <c r="AR140" s="536"/>
      <c r="AS140" s="536"/>
      <c r="AT140" s="536"/>
      <c r="AU140" s="536"/>
      <c r="AV140" s="536"/>
      <c r="AW140" s="536"/>
      <c r="AX140" s="536"/>
      <c r="AY140" s="536"/>
      <c r="AZ140" s="536"/>
      <c r="BA140" s="536"/>
      <c r="BB140" s="536"/>
      <c r="BC140" s="536"/>
      <c r="BD140" s="536"/>
      <c r="BE140" s="536"/>
      <c r="BF140" s="536"/>
      <c r="BG140" s="536"/>
      <c r="BH140" s="536"/>
      <c r="BI140" s="536"/>
      <c r="BJ140" s="536"/>
      <c r="BK140" s="536"/>
      <c r="BL140" s="536"/>
      <c r="BM140" s="536"/>
      <c r="BN140" s="536"/>
      <c r="BO140" s="536"/>
      <c r="BP140" s="536"/>
      <c r="BQ140" s="536"/>
      <c r="BR140" s="536"/>
      <c r="BS140" s="536"/>
      <c r="BT140" s="536"/>
    </row>
    <row r="141" spans="1:72" ht="18.75">
      <c r="A141" s="2518"/>
      <c r="B141" s="2518"/>
      <c r="C141" s="1147">
        <v>1</v>
      </c>
      <c r="D141" s="1147">
        <v>2</v>
      </c>
      <c r="E141" s="1147">
        <v>3</v>
      </c>
      <c r="F141" s="1148">
        <v>3</v>
      </c>
      <c r="G141" s="221"/>
      <c r="I141" s="536"/>
      <c r="J141" s="536"/>
      <c r="K141" s="536"/>
      <c r="L141" s="536"/>
      <c r="M141" s="536"/>
      <c r="N141" s="536"/>
      <c r="O141" s="536"/>
      <c r="P141" s="536"/>
      <c r="Q141" s="536"/>
      <c r="R141" s="536"/>
      <c r="S141" s="536"/>
      <c r="T141" s="536"/>
      <c r="U141" s="536"/>
      <c r="V141" s="536"/>
      <c r="W141" s="536"/>
      <c r="X141" s="536"/>
      <c r="Y141" s="536"/>
      <c r="Z141" s="536"/>
      <c r="AA141" s="536"/>
      <c r="AB141" s="536"/>
      <c r="AC141" s="536"/>
      <c r="AD141" s="536"/>
      <c r="AE141" s="536"/>
      <c r="AF141" s="536"/>
      <c r="AG141" s="536"/>
      <c r="AH141" s="536"/>
      <c r="AI141" s="536"/>
      <c r="AJ141" s="536"/>
      <c r="AK141" s="536"/>
      <c r="AL141" s="536"/>
      <c r="AM141" s="536"/>
      <c r="AN141" s="536"/>
      <c r="AO141" s="536"/>
      <c r="AP141" s="536"/>
      <c r="AQ141" s="536"/>
      <c r="AR141" s="536"/>
      <c r="AS141" s="536"/>
      <c r="AT141" s="536"/>
      <c r="AU141" s="536"/>
      <c r="AV141" s="536"/>
      <c r="AW141" s="536"/>
      <c r="AX141" s="536"/>
      <c r="AY141" s="536"/>
      <c r="AZ141" s="536"/>
      <c r="BA141" s="536"/>
      <c r="BB141" s="536"/>
      <c r="BC141" s="536"/>
      <c r="BD141" s="536"/>
      <c r="BE141" s="536"/>
      <c r="BF141" s="536"/>
      <c r="BG141" s="536"/>
      <c r="BH141" s="536"/>
      <c r="BI141" s="536"/>
      <c r="BJ141" s="536"/>
      <c r="BK141" s="536"/>
      <c r="BL141" s="536"/>
      <c r="BM141" s="536"/>
      <c r="BN141" s="536"/>
      <c r="BO141" s="536"/>
      <c r="BP141" s="536"/>
      <c r="BQ141" s="536"/>
      <c r="BR141" s="536"/>
      <c r="BS141" s="536"/>
      <c r="BT141" s="536"/>
    </row>
    <row r="142" spans="1:72" ht="18.75">
      <c r="A142" s="1149">
        <v>1</v>
      </c>
      <c r="B142" s="1150" t="s">
        <v>58</v>
      </c>
      <c r="C142" s="1151">
        <v>0.4</v>
      </c>
      <c r="D142" s="1151">
        <v>0.25</v>
      </c>
      <c r="E142" s="1151">
        <v>0.35</v>
      </c>
      <c r="F142" s="221"/>
      <c r="G142" s="221"/>
      <c r="H142" s="327"/>
      <c r="I142" s="536"/>
      <c r="J142" s="536"/>
      <c r="K142" s="536"/>
      <c r="L142" s="536"/>
      <c r="M142" s="536"/>
      <c r="N142" s="536"/>
      <c r="O142" s="536"/>
      <c r="P142" s="536"/>
      <c r="Q142" s="536"/>
      <c r="R142" s="536"/>
      <c r="S142" s="536"/>
      <c r="T142" s="536"/>
      <c r="U142" s="536"/>
      <c r="V142" s="536"/>
      <c r="W142" s="536"/>
      <c r="X142" s="536"/>
      <c r="Y142" s="536"/>
      <c r="Z142" s="536"/>
      <c r="AA142" s="536"/>
      <c r="AB142" s="536"/>
      <c r="AC142" s="536"/>
      <c r="AD142" s="536"/>
      <c r="AE142" s="536"/>
      <c r="AF142" s="536"/>
      <c r="AG142" s="536"/>
      <c r="AH142" s="536"/>
      <c r="AI142" s="536"/>
      <c r="AJ142" s="536"/>
      <c r="AK142" s="536"/>
      <c r="AL142" s="536"/>
      <c r="AM142" s="536"/>
      <c r="AN142" s="536"/>
      <c r="AO142" s="536"/>
      <c r="AP142" s="536"/>
      <c r="AQ142" s="536"/>
      <c r="AR142" s="536"/>
      <c r="AS142" s="536"/>
      <c r="AT142" s="536"/>
      <c r="AU142" s="536"/>
      <c r="AV142" s="536"/>
      <c r="AW142" s="536"/>
      <c r="AX142" s="536"/>
      <c r="AY142" s="536"/>
      <c r="AZ142" s="536"/>
      <c r="BA142" s="536"/>
      <c r="BB142" s="536"/>
      <c r="BC142" s="536"/>
      <c r="BD142" s="536"/>
      <c r="BE142" s="536"/>
      <c r="BF142" s="536"/>
      <c r="BG142" s="536"/>
      <c r="BH142" s="536"/>
      <c r="BI142" s="536"/>
      <c r="BJ142" s="536"/>
      <c r="BK142" s="536"/>
      <c r="BL142" s="536"/>
      <c r="BM142" s="536"/>
      <c r="BN142" s="536"/>
      <c r="BO142" s="536"/>
      <c r="BP142" s="536"/>
      <c r="BQ142" s="536"/>
      <c r="BR142" s="536"/>
      <c r="BS142" s="536"/>
      <c r="BT142" s="536"/>
    </row>
    <row r="143" spans="1:72" ht="18.75">
      <c r="A143" s="1149">
        <v>2</v>
      </c>
      <c r="B143" s="1150" t="s">
        <v>59</v>
      </c>
      <c r="C143" s="1173">
        <f ca="1">C142*$C$121</f>
        <v>151374593.55669484</v>
      </c>
      <c r="D143" s="1173">
        <f ca="1">D142*$C$121</f>
        <v>94609120.972934276</v>
      </c>
      <c r="E143" s="1173">
        <f ca="1">E142*$C$121</f>
        <v>132452769.36210798</v>
      </c>
      <c r="F143" s="221"/>
      <c r="G143" s="221"/>
      <c r="H143" s="327"/>
      <c r="I143" s="536"/>
      <c r="J143" s="536"/>
      <c r="K143" s="536"/>
      <c r="L143" s="536"/>
      <c r="M143" s="536"/>
      <c r="N143" s="536"/>
      <c r="O143" s="536"/>
      <c r="P143" s="536"/>
      <c r="Q143" s="536"/>
      <c r="R143" s="536"/>
      <c r="S143" s="536"/>
      <c r="T143" s="536"/>
      <c r="U143" s="536"/>
      <c r="V143" s="536"/>
      <c r="W143" s="536"/>
      <c r="X143" s="536"/>
      <c r="Y143" s="536"/>
      <c r="Z143" s="536"/>
      <c r="AA143" s="536"/>
      <c r="AB143" s="536"/>
      <c r="AC143" s="536"/>
      <c r="AD143" s="536"/>
      <c r="AE143" s="536"/>
      <c r="AF143" s="536"/>
      <c r="AG143" s="536"/>
      <c r="AH143" s="536"/>
      <c r="AI143" s="536"/>
      <c r="AJ143" s="536"/>
      <c r="AK143" s="536"/>
      <c r="AL143" s="536"/>
      <c r="AM143" s="536"/>
      <c r="AN143" s="536"/>
      <c r="AO143" s="536"/>
      <c r="AP143" s="536"/>
      <c r="AQ143" s="536"/>
      <c r="AR143" s="536"/>
      <c r="AS143" s="536"/>
      <c r="AT143" s="536"/>
      <c r="AU143" s="536"/>
      <c r="AV143" s="536"/>
      <c r="AW143" s="536"/>
      <c r="AX143" s="536"/>
      <c r="AY143" s="536"/>
      <c r="AZ143" s="536"/>
      <c r="BA143" s="536"/>
      <c r="BB143" s="536"/>
      <c r="BC143" s="536"/>
      <c r="BD143" s="536"/>
      <c r="BE143" s="536"/>
      <c r="BF143" s="536"/>
      <c r="BG143" s="536"/>
      <c r="BH143" s="536"/>
      <c r="BI143" s="536"/>
      <c r="BJ143" s="536"/>
      <c r="BK143" s="536"/>
      <c r="BL143" s="536"/>
      <c r="BM143" s="536"/>
      <c r="BN143" s="536"/>
      <c r="BO143" s="536"/>
      <c r="BP143" s="536"/>
      <c r="BQ143" s="536"/>
      <c r="BR143" s="536"/>
      <c r="BS143" s="536"/>
      <c r="BT143" s="536"/>
    </row>
    <row r="144" spans="1:72" ht="18.75">
      <c r="A144" s="221"/>
      <c r="B144" s="221"/>
      <c r="C144" s="221"/>
      <c r="D144" s="221"/>
      <c r="E144" s="221"/>
      <c r="F144" s="221"/>
      <c r="G144" s="221"/>
      <c r="H144" s="327"/>
      <c r="I144" s="536"/>
      <c r="J144" s="536"/>
      <c r="K144" s="536"/>
      <c r="L144" s="536"/>
      <c r="M144" s="536"/>
      <c r="N144" s="536"/>
      <c r="O144" s="536"/>
      <c r="P144" s="536"/>
      <c r="Q144" s="536"/>
      <c r="R144" s="536"/>
      <c r="S144" s="536"/>
      <c r="T144" s="536"/>
      <c r="U144" s="536"/>
      <c r="V144" s="536"/>
      <c r="W144" s="536"/>
      <c r="X144" s="536"/>
      <c r="Y144" s="536"/>
      <c r="Z144" s="536"/>
      <c r="AA144" s="536"/>
      <c r="AB144" s="536"/>
      <c r="AC144" s="536"/>
      <c r="AD144" s="536"/>
      <c r="AE144" s="536"/>
      <c r="AF144" s="536"/>
      <c r="AG144" s="536"/>
      <c r="AH144" s="536"/>
      <c r="AI144" s="536"/>
      <c r="AJ144" s="536"/>
      <c r="AK144" s="536"/>
      <c r="AL144" s="536"/>
      <c r="AM144" s="536"/>
      <c r="AN144" s="536"/>
      <c r="AO144" s="536"/>
      <c r="AP144" s="536"/>
      <c r="AQ144" s="536"/>
      <c r="AR144" s="536"/>
      <c r="AS144" s="536"/>
      <c r="AT144" s="536"/>
      <c r="AU144" s="536"/>
      <c r="AV144" s="536"/>
      <c r="AW144" s="536"/>
      <c r="AX144" s="536"/>
      <c r="AY144" s="536"/>
      <c r="AZ144" s="536"/>
      <c r="BA144" s="536"/>
      <c r="BB144" s="536"/>
      <c r="BC144" s="536"/>
      <c r="BD144" s="536"/>
      <c r="BE144" s="536"/>
      <c r="BF144" s="536"/>
      <c r="BG144" s="536"/>
      <c r="BH144" s="536"/>
      <c r="BI144" s="536"/>
      <c r="BJ144" s="536"/>
      <c r="BK144" s="536"/>
      <c r="BL144" s="536"/>
      <c r="BM144" s="536"/>
      <c r="BN144" s="536"/>
      <c r="BO144" s="536"/>
      <c r="BP144" s="536"/>
      <c r="BQ144" s="536"/>
      <c r="BR144" s="536"/>
      <c r="BS144" s="536"/>
      <c r="BT144" s="536"/>
    </row>
    <row r="145" spans="1:72" ht="18.75">
      <c r="A145" s="1153" t="s">
        <v>610</v>
      </c>
      <c r="B145" s="6"/>
      <c r="C145" s="8"/>
      <c r="D145" s="8"/>
      <c r="E145" s="8"/>
      <c r="F145" s="221"/>
      <c r="G145" s="221"/>
      <c r="H145" s="327"/>
      <c r="I145" s="536"/>
      <c r="J145" s="536"/>
      <c r="K145" s="536"/>
      <c r="L145" s="536"/>
      <c r="M145" s="536"/>
      <c r="N145" s="536"/>
      <c r="O145" s="536"/>
      <c r="P145" s="536"/>
      <c r="Q145" s="536"/>
      <c r="R145" s="536"/>
      <c r="S145" s="536"/>
      <c r="T145" s="536"/>
      <c r="U145" s="536"/>
      <c r="V145" s="536"/>
      <c r="W145" s="536"/>
      <c r="X145" s="536"/>
      <c r="Y145" s="536"/>
      <c r="Z145" s="536"/>
      <c r="AA145" s="536"/>
      <c r="AB145" s="536"/>
      <c r="AC145" s="536"/>
      <c r="AD145" s="536"/>
      <c r="AE145" s="536"/>
      <c r="AF145" s="536"/>
      <c r="AG145" s="536"/>
      <c r="AH145" s="536"/>
      <c r="AI145" s="536"/>
      <c r="AJ145" s="536"/>
      <c r="AK145" s="536"/>
      <c r="AL145" s="536"/>
      <c r="AM145" s="536"/>
      <c r="AN145" s="536"/>
      <c r="AO145" s="536"/>
      <c r="AP145" s="536"/>
      <c r="AQ145" s="536"/>
      <c r="AR145" s="536"/>
      <c r="AS145" s="536"/>
      <c r="AT145" s="536"/>
      <c r="AU145" s="536"/>
      <c r="AV145" s="536"/>
      <c r="AW145" s="536"/>
      <c r="AX145" s="536"/>
      <c r="AY145" s="536"/>
      <c r="AZ145" s="536"/>
      <c r="BA145" s="536"/>
      <c r="BB145" s="536"/>
      <c r="BC145" s="536"/>
      <c r="BD145" s="536"/>
      <c r="BE145" s="536"/>
      <c r="BF145" s="536"/>
      <c r="BG145" s="536"/>
      <c r="BH145" s="536"/>
      <c r="BI145" s="536"/>
      <c r="BJ145" s="536"/>
      <c r="BK145" s="536"/>
      <c r="BL145" s="536"/>
      <c r="BM145" s="536"/>
      <c r="BN145" s="536"/>
      <c r="BO145" s="536"/>
      <c r="BP145" s="536"/>
      <c r="BQ145" s="536"/>
      <c r="BR145" s="536"/>
      <c r="BS145" s="536"/>
      <c r="BT145" s="536"/>
    </row>
    <row r="146" spans="1:72" ht="18.75">
      <c r="A146" s="2510" t="s">
        <v>196</v>
      </c>
      <c r="B146" s="2512" t="s">
        <v>60</v>
      </c>
      <c r="C146" s="1146" t="s">
        <v>865</v>
      </c>
      <c r="D146" s="1146"/>
      <c r="E146" s="1146"/>
      <c r="F146" s="1146"/>
      <c r="G146" s="221"/>
      <c r="H146" s="327"/>
      <c r="I146" s="536"/>
      <c r="J146" s="536"/>
      <c r="K146" s="536"/>
      <c r="L146" s="536"/>
      <c r="M146" s="536"/>
      <c r="N146" s="536"/>
      <c r="O146" s="536"/>
      <c r="P146" s="536"/>
      <c r="Q146" s="536"/>
      <c r="R146" s="536"/>
      <c r="S146" s="536"/>
      <c r="T146" s="536"/>
      <c r="U146" s="536"/>
      <c r="V146" s="536"/>
      <c r="W146" s="536"/>
      <c r="X146" s="536"/>
      <c r="Y146" s="536"/>
      <c r="Z146" s="536"/>
      <c r="AA146" s="536"/>
      <c r="AB146" s="536"/>
      <c r="AC146" s="536"/>
      <c r="AD146" s="536"/>
      <c r="AE146" s="536"/>
      <c r="AF146" s="536"/>
      <c r="AG146" s="536"/>
      <c r="AH146" s="536"/>
      <c r="AI146" s="536"/>
      <c r="AJ146" s="536"/>
      <c r="AK146" s="536"/>
      <c r="AL146" s="536"/>
      <c r="AM146" s="536"/>
      <c r="AN146" s="536"/>
      <c r="AO146" s="536"/>
      <c r="AP146" s="536"/>
      <c r="AQ146" s="536"/>
      <c r="AR146" s="536"/>
      <c r="AS146" s="536"/>
      <c r="AT146" s="536"/>
      <c r="AU146" s="536"/>
      <c r="AV146" s="536"/>
      <c r="AW146" s="536"/>
      <c r="AX146" s="536"/>
      <c r="AY146" s="536"/>
      <c r="AZ146" s="536"/>
      <c r="BA146" s="536"/>
      <c r="BB146" s="536"/>
      <c r="BC146" s="536"/>
      <c r="BD146" s="536"/>
      <c r="BE146" s="536"/>
      <c r="BF146" s="536"/>
      <c r="BG146" s="536"/>
      <c r="BH146" s="536"/>
      <c r="BI146" s="536"/>
      <c r="BJ146" s="536"/>
      <c r="BK146" s="536"/>
      <c r="BL146" s="536"/>
      <c r="BM146" s="536"/>
      <c r="BN146" s="536"/>
      <c r="BO146" s="536"/>
      <c r="BP146" s="536"/>
      <c r="BQ146" s="536"/>
      <c r="BR146" s="536"/>
      <c r="BS146" s="536"/>
      <c r="BT146" s="536"/>
    </row>
    <row r="147" spans="1:72" ht="18.75">
      <c r="A147" s="2511"/>
      <c r="B147" s="2513"/>
      <c r="C147" s="1154">
        <v>2017</v>
      </c>
      <c r="D147" s="1154">
        <v>2018</v>
      </c>
      <c r="E147" s="1154">
        <v>2019</v>
      </c>
      <c r="F147" s="1154">
        <v>2020</v>
      </c>
      <c r="G147" s="1148">
        <v>4</v>
      </c>
      <c r="I147" s="536"/>
      <c r="J147" s="536"/>
      <c r="K147" s="536"/>
      <c r="L147" s="536"/>
      <c r="M147" s="536"/>
      <c r="N147" s="536"/>
      <c r="O147" s="536"/>
      <c r="P147" s="536"/>
      <c r="Q147" s="536"/>
      <c r="R147" s="536"/>
      <c r="S147" s="536"/>
      <c r="T147" s="536"/>
      <c r="U147" s="536"/>
      <c r="V147" s="536"/>
      <c r="W147" s="536"/>
      <c r="X147" s="536"/>
      <c r="Y147" s="536"/>
      <c r="Z147" s="536"/>
      <c r="AA147" s="536"/>
      <c r="AB147" s="536"/>
      <c r="AC147" s="536"/>
      <c r="AD147" s="536"/>
      <c r="AE147" s="536"/>
      <c r="AF147" s="536"/>
      <c r="AG147" s="536"/>
      <c r="AH147" s="536"/>
      <c r="AI147" s="536"/>
      <c r="AJ147" s="536"/>
      <c r="AK147" s="536"/>
      <c r="AL147" s="536"/>
      <c r="AM147" s="536"/>
      <c r="AN147" s="536"/>
      <c r="AO147" s="536"/>
      <c r="AP147" s="536"/>
      <c r="AQ147" s="536"/>
      <c r="AR147" s="536"/>
      <c r="AS147" s="536"/>
      <c r="AT147" s="536"/>
      <c r="AU147" s="536"/>
      <c r="AV147" s="536"/>
      <c r="AW147" s="536"/>
      <c r="AX147" s="536"/>
      <c r="AY147" s="536"/>
      <c r="AZ147" s="536"/>
      <c r="BA147" s="536"/>
      <c r="BB147" s="536"/>
      <c r="BC147" s="536"/>
      <c r="BD147" s="536"/>
      <c r="BE147" s="536"/>
      <c r="BF147" s="536"/>
      <c r="BG147" s="536"/>
      <c r="BH147" s="536"/>
      <c r="BI147" s="536"/>
      <c r="BJ147" s="536"/>
      <c r="BK147" s="536"/>
      <c r="BL147" s="536"/>
      <c r="BM147" s="536"/>
      <c r="BN147" s="536"/>
      <c r="BO147" s="536"/>
      <c r="BP147" s="536"/>
      <c r="BQ147" s="536"/>
      <c r="BR147" s="536"/>
      <c r="BS147" s="536"/>
      <c r="BT147" s="536"/>
    </row>
    <row r="148" spans="1:72" ht="37.5">
      <c r="A148" s="1155">
        <v>1</v>
      </c>
      <c r="B148" s="1156" t="s">
        <v>324</v>
      </c>
      <c r="C148" s="1155">
        <v>139</v>
      </c>
      <c r="D148" s="1155">
        <v>140</v>
      </c>
      <c r="E148" s="1155">
        <v>141</v>
      </c>
      <c r="F148" s="1155">
        <v>142</v>
      </c>
      <c r="G148" s="221"/>
      <c r="H148" s="327"/>
      <c r="I148" s="536"/>
      <c r="J148" s="536"/>
      <c r="K148" s="536"/>
      <c r="L148" s="536"/>
      <c r="M148" s="536"/>
      <c r="N148" s="536"/>
      <c r="O148" s="536"/>
      <c r="P148" s="536"/>
      <c r="Q148" s="536"/>
      <c r="R148" s="536"/>
      <c r="S148" s="536"/>
      <c r="T148" s="536"/>
      <c r="U148" s="536"/>
      <c r="V148" s="536"/>
      <c r="W148" s="536"/>
      <c r="X148" s="536"/>
      <c r="Y148" s="536"/>
      <c r="Z148" s="536"/>
      <c r="AA148" s="536"/>
      <c r="AB148" s="536"/>
      <c r="AC148" s="536"/>
      <c r="AD148" s="536"/>
      <c r="AE148" s="536"/>
      <c r="AF148" s="536"/>
      <c r="AG148" s="536"/>
      <c r="AH148" s="536"/>
      <c r="AI148" s="536"/>
      <c r="AJ148" s="536"/>
      <c r="AK148" s="536"/>
      <c r="AL148" s="536"/>
      <c r="AM148" s="536"/>
      <c r="AN148" s="536"/>
      <c r="AO148" s="536"/>
      <c r="AP148" s="536"/>
      <c r="AQ148" s="536"/>
      <c r="AR148" s="536"/>
      <c r="AS148" s="536"/>
      <c r="AT148" s="536"/>
      <c r="AU148" s="536"/>
      <c r="AV148" s="536"/>
      <c r="AW148" s="536"/>
      <c r="AX148" s="536"/>
      <c r="AY148" s="536"/>
      <c r="AZ148" s="536"/>
      <c r="BA148" s="536"/>
      <c r="BB148" s="536"/>
      <c r="BC148" s="536"/>
      <c r="BD148" s="536"/>
      <c r="BE148" s="536"/>
      <c r="BF148" s="536"/>
      <c r="BG148" s="536"/>
      <c r="BH148" s="536"/>
      <c r="BI148" s="536"/>
      <c r="BJ148" s="536"/>
      <c r="BK148" s="536"/>
      <c r="BL148" s="536"/>
      <c r="BM148" s="536"/>
      <c r="BN148" s="536"/>
      <c r="BO148" s="536"/>
      <c r="BP148" s="536"/>
      <c r="BQ148" s="536"/>
      <c r="BR148" s="536"/>
      <c r="BS148" s="536"/>
      <c r="BT148" s="536"/>
    </row>
    <row r="149" spans="1:72" ht="37.5">
      <c r="A149" s="1157">
        <v>2</v>
      </c>
      <c r="B149" s="1158" t="s">
        <v>815</v>
      </c>
      <c r="C149" s="1157"/>
      <c r="D149" s="1159">
        <f>D148/C148</f>
        <v>1.0071942446043165</v>
      </c>
      <c r="E149" s="1159">
        <f>E148/D148</f>
        <v>1.0071428571428571</v>
      </c>
      <c r="F149" s="1159">
        <f>F148/E148</f>
        <v>1.0070921985815602</v>
      </c>
      <c r="G149" s="221"/>
      <c r="H149" s="327"/>
      <c r="I149" s="536"/>
      <c r="J149" s="536"/>
      <c r="K149" s="536"/>
      <c r="L149" s="536"/>
      <c r="M149" s="536"/>
      <c r="N149" s="536"/>
      <c r="O149" s="536"/>
      <c r="P149" s="536"/>
      <c r="Q149" s="536"/>
      <c r="R149" s="536"/>
      <c r="S149" s="536"/>
      <c r="T149" s="536"/>
      <c r="U149" s="536"/>
      <c r="V149" s="536"/>
      <c r="W149" s="536"/>
      <c r="X149" s="536"/>
      <c r="Y149" s="536"/>
      <c r="Z149" s="536"/>
      <c r="AA149" s="536"/>
      <c r="AB149" s="536"/>
      <c r="AC149" s="536"/>
      <c r="AD149" s="536"/>
      <c r="AE149" s="536"/>
      <c r="AF149" s="536"/>
      <c r="AG149" s="536"/>
      <c r="AH149" s="536"/>
      <c r="AI149" s="536"/>
      <c r="AJ149" s="536"/>
      <c r="AK149" s="536"/>
      <c r="AL149" s="536"/>
      <c r="AM149" s="536"/>
      <c r="AN149" s="536"/>
      <c r="AO149" s="536"/>
      <c r="AP149" s="536"/>
      <c r="AQ149" s="536"/>
      <c r="AR149" s="536"/>
      <c r="AS149" s="536"/>
      <c r="AT149" s="536"/>
      <c r="AU149" s="536"/>
      <c r="AV149" s="536"/>
      <c r="AW149" s="536"/>
      <c r="AX149" s="536"/>
      <c r="AY149" s="536"/>
      <c r="AZ149" s="536"/>
      <c r="BA149" s="536"/>
      <c r="BB149" s="536"/>
      <c r="BC149" s="536"/>
      <c r="BD149" s="536"/>
      <c r="BE149" s="536"/>
      <c r="BF149" s="536"/>
      <c r="BG149" s="536"/>
      <c r="BH149" s="536"/>
      <c r="BI149" s="536"/>
      <c r="BJ149" s="536"/>
      <c r="BK149" s="536"/>
      <c r="BL149" s="536"/>
      <c r="BM149" s="536"/>
      <c r="BN149" s="536"/>
      <c r="BO149" s="536"/>
      <c r="BP149" s="536"/>
      <c r="BQ149" s="536"/>
      <c r="BR149" s="536"/>
      <c r="BS149" s="536"/>
      <c r="BT149" s="536"/>
    </row>
    <row r="150" spans="1:72" ht="39">
      <c r="A150" s="1160">
        <v>3</v>
      </c>
      <c r="B150" s="1161" t="s">
        <v>823</v>
      </c>
      <c r="C150" s="1162"/>
      <c r="D150" s="1162"/>
      <c r="E150" s="1162"/>
      <c r="F150" s="1163">
        <f>ROUND(AVERAGE(D149:F149),3)</f>
        <v>1.0069999999999999</v>
      </c>
      <c r="G150" s="221"/>
      <c r="H150" s="327"/>
      <c r="I150" s="536"/>
      <c r="J150" s="536"/>
      <c r="K150" s="536"/>
      <c r="L150" s="536"/>
      <c r="M150" s="536"/>
      <c r="N150" s="536"/>
      <c r="O150" s="536"/>
      <c r="P150" s="536"/>
      <c r="Q150" s="536"/>
      <c r="R150" s="536"/>
      <c r="S150" s="536"/>
      <c r="T150" s="536"/>
      <c r="U150" s="536"/>
      <c r="V150" s="536"/>
      <c r="W150" s="536"/>
      <c r="X150" s="536"/>
      <c r="Y150" s="536"/>
      <c r="Z150" s="536"/>
      <c r="AA150" s="536"/>
      <c r="AB150" s="536"/>
      <c r="AC150" s="536"/>
      <c r="AD150" s="536"/>
      <c r="AE150" s="536"/>
      <c r="AF150" s="536"/>
      <c r="AG150" s="536"/>
      <c r="AH150" s="536"/>
      <c r="AI150" s="536"/>
      <c r="AJ150" s="536"/>
      <c r="AK150" s="536"/>
      <c r="AL150" s="536"/>
      <c r="AM150" s="536"/>
      <c r="AN150" s="536"/>
      <c r="AO150" s="536"/>
      <c r="AP150" s="536"/>
      <c r="AQ150" s="536"/>
      <c r="AR150" s="536"/>
      <c r="AS150" s="536"/>
      <c r="AT150" s="536"/>
      <c r="AU150" s="536"/>
      <c r="AV150" s="536"/>
      <c r="AW150" s="536"/>
      <c r="AX150" s="536"/>
      <c r="AY150" s="536"/>
      <c r="AZ150" s="536"/>
      <c r="BA150" s="536"/>
      <c r="BB150" s="536"/>
      <c r="BC150" s="536"/>
      <c r="BD150" s="536"/>
      <c r="BE150" s="536"/>
      <c r="BF150" s="536"/>
      <c r="BG150" s="536"/>
      <c r="BH150" s="536"/>
      <c r="BI150" s="536"/>
      <c r="BJ150" s="536"/>
      <c r="BK150" s="536"/>
      <c r="BL150" s="536"/>
      <c r="BM150" s="536"/>
      <c r="BN150" s="536"/>
      <c r="BO150" s="536"/>
      <c r="BP150" s="536"/>
      <c r="BQ150" s="536"/>
      <c r="BR150" s="536"/>
      <c r="BS150" s="536"/>
      <c r="BT150" s="536"/>
    </row>
    <row r="151" spans="1:72" ht="18.75">
      <c r="A151" s="221"/>
      <c r="B151" s="221"/>
      <c r="C151" s="221"/>
      <c r="D151" s="221"/>
      <c r="E151" s="221"/>
      <c r="F151" s="221"/>
      <c r="G151" s="221"/>
      <c r="H151" s="327"/>
      <c r="I151" s="536"/>
      <c r="J151" s="536"/>
      <c r="K151" s="536"/>
      <c r="L151" s="536"/>
      <c r="M151" s="536"/>
      <c r="N151" s="536"/>
      <c r="O151" s="536"/>
      <c r="P151" s="536"/>
      <c r="Q151" s="536"/>
      <c r="R151" s="536"/>
      <c r="S151" s="536"/>
      <c r="T151" s="536"/>
      <c r="U151" s="536"/>
      <c r="V151" s="536"/>
      <c r="W151" s="536"/>
      <c r="X151" s="536"/>
      <c r="Y151" s="536"/>
      <c r="Z151" s="536"/>
      <c r="AA151" s="536"/>
      <c r="AB151" s="536"/>
      <c r="AC151" s="536"/>
      <c r="AD151" s="536"/>
      <c r="AE151" s="536"/>
      <c r="AF151" s="536"/>
      <c r="AG151" s="536"/>
      <c r="AH151" s="536"/>
      <c r="AI151" s="536"/>
      <c r="AJ151" s="536"/>
      <c r="AK151" s="536"/>
      <c r="AL151" s="536"/>
      <c r="AM151" s="536"/>
      <c r="AN151" s="536"/>
      <c r="AO151" s="536"/>
      <c r="AP151" s="536"/>
      <c r="AQ151" s="536"/>
      <c r="AR151" s="536"/>
      <c r="AS151" s="536"/>
      <c r="AT151" s="536"/>
      <c r="AU151" s="536"/>
      <c r="AV151" s="536"/>
      <c r="AW151" s="536"/>
      <c r="AX151" s="536"/>
      <c r="AY151" s="536"/>
      <c r="AZ151" s="536"/>
      <c r="BA151" s="536"/>
      <c r="BB151" s="536"/>
      <c r="BC151" s="536"/>
      <c r="BD151" s="536"/>
      <c r="BE151" s="536"/>
      <c r="BF151" s="536"/>
      <c r="BG151" s="536"/>
      <c r="BH151" s="536"/>
      <c r="BI151" s="536"/>
      <c r="BJ151" s="536"/>
      <c r="BK151" s="536"/>
      <c r="BL151" s="536"/>
      <c r="BM151" s="536"/>
      <c r="BN151" s="536"/>
      <c r="BO151" s="536"/>
      <c r="BP151" s="536"/>
      <c r="BQ151" s="536"/>
      <c r="BR151" s="536"/>
      <c r="BS151" s="536"/>
      <c r="BT151" s="536"/>
    </row>
    <row r="152" spans="1:72" ht="18.75">
      <c r="A152" s="8" t="s">
        <v>61</v>
      </c>
      <c r="B152" s="8"/>
      <c r="C152" s="8"/>
      <c r="D152" s="8"/>
      <c r="E152" s="8"/>
      <c r="F152" s="324"/>
      <c r="G152" s="324"/>
      <c r="H152" s="327"/>
      <c r="I152" s="536"/>
      <c r="J152" s="536"/>
      <c r="K152" s="536"/>
      <c r="L152" s="536"/>
      <c r="M152" s="536"/>
      <c r="N152" s="536"/>
      <c r="O152" s="536"/>
      <c r="P152" s="536"/>
      <c r="Q152" s="536"/>
      <c r="R152" s="536"/>
      <c r="S152" s="536"/>
      <c r="T152" s="536"/>
      <c r="U152" s="536"/>
      <c r="V152" s="536"/>
      <c r="W152" s="536"/>
      <c r="X152" s="536"/>
      <c r="Y152" s="536"/>
      <c r="Z152" s="536"/>
      <c r="AA152" s="536"/>
      <c r="AB152" s="536"/>
      <c r="AC152" s="536"/>
      <c r="AD152" s="536"/>
      <c r="AE152" s="536"/>
      <c r="AF152" s="536"/>
      <c r="AG152" s="536"/>
      <c r="AH152" s="536"/>
      <c r="AI152" s="536"/>
      <c r="AJ152" s="536"/>
      <c r="AK152" s="536"/>
      <c r="AL152" s="536"/>
      <c r="AM152" s="536"/>
      <c r="AN152" s="536"/>
      <c r="AO152" s="536"/>
      <c r="AP152" s="536"/>
      <c r="AQ152" s="536"/>
      <c r="AR152" s="536"/>
      <c r="AS152" s="536"/>
      <c r="AT152" s="536"/>
      <c r="AU152" s="536"/>
      <c r="AV152" s="536"/>
      <c r="AW152" s="536"/>
      <c r="AX152" s="536"/>
      <c r="AY152" s="536"/>
      <c r="AZ152" s="536"/>
      <c r="BA152" s="536"/>
      <c r="BB152" s="536"/>
      <c r="BC152" s="536"/>
      <c r="BD152" s="536"/>
      <c r="BE152" s="536"/>
      <c r="BF152" s="536"/>
      <c r="BG152" s="536"/>
      <c r="BH152" s="536"/>
      <c r="BI152" s="536"/>
      <c r="BJ152" s="536"/>
      <c r="BK152" s="536"/>
      <c r="BL152" s="536"/>
      <c r="BM152" s="536"/>
      <c r="BN152" s="536"/>
      <c r="BO152" s="536"/>
      <c r="BP152" s="536"/>
      <c r="BQ152" s="536"/>
      <c r="BR152" s="536"/>
      <c r="BS152" s="536"/>
      <c r="BT152" s="536"/>
    </row>
    <row r="153" spans="1:72" ht="18.75">
      <c r="A153" s="2510" t="s">
        <v>196</v>
      </c>
      <c r="B153" s="2512" t="s">
        <v>57</v>
      </c>
      <c r="C153" s="1146" t="s">
        <v>835</v>
      </c>
      <c r="D153" s="1146"/>
      <c r="E153" s="1146"/>
      <c r="F153" s="324"/>
      <c r="G153" s="324"/>
      <c r="H153" s="327"/>
      <c r="I153" s="536"/>
      <c r="J153" s="536"/>
      <c r="K153" s="536"/>
      <c r="L153" s="536"/>
      <c r="M153" s="536"/>
      <c r="N153" s="536"/>
      <c r="O153" s="536"/>
      <c r="P153" s="536"/>
      <c r="Q153" s="536"/>
      <c r="R153" s="536"/>
      <c r="S153" s="536"/>
      <c r="T153" s="536"/>
      <c r="U153" s="536"/>
      <c r="V153" s="536"/>
      <c r="W153" s="536"/>
      <c r="X153" s="536"/>
      <c r="Y153" s="536"/>
      <c r="Z153" s="536"/>
      <c r="AA153" s="536"/>
      <c r="AB153" s="536"/>
      <c r="AC153" s="536"/>
      <c r="AD153" s="536"/>
      <c r="AE153" s="536"/>
      <c r="AF153" s="536"/>
      <c r="AG153" s="536"/>
      <c r="AH153" s="536"/>
      <c r="AI153" s="536"/>
      <c r="AJ153" s="536"/>
      <c r="AK153" s="536"/>
      <c r="AL153" s="536"/>
      <c r="AM153" s="536"/>
      <c r="AN153" s="536"/>
      <c r="AO153" s="536"/>
      <c r="AP153" s="536"/>
      <c r="AQ153" s="536"/>
      <c r="AR153" s="536"/>
      <c r="AS153" s="536"/>
      <c r="AT153" s="536"/>
      <c r="AU153" s="536"/>
      <c r="AV153" s="536"/>
      <c r="AW153" s="536"/>
      <c r="AX153" s="536"/>
      <c r="AY153" s="536"/>
      <c r="AZ153" s="536"/>
      <c r="BA153" s="536"/>
      <c r="BB153" s="536"/>
      <c r="BC153" s="536"/>
      <c r="BD153" s="536"/>
      <c r="BE153" s="536"/>
      <c r="BF153" s="536"/>
      <c r="BG153" s="536"/>
      <c r="BH153" s="536"/>
      <c r="BI153" s="536"/>
      <c r="BJ153" s="536"/>
      <c r="BK153" s="536"/>
      <c r="BL153" s="536"/>
      <c r="BM153" s="536"/>
      <c r="BN153" s="536"/>
      <c r="BO153" s="536"/>
      <c r="BP153" s="536"/>
      <c r="BQ153" s="536"/>
      <c r="BR153" s="536"/>
      <c r="BS153" s="536"/>
      <c r="BT153" s="536"/>
    </row>
    <row r="154" spans="1:72" ht="18.75">
      <c r="A154" s="2511"/>
      <c r="B154" s="2513"/>
      <c r="C154" s="1154">
        <v>1</v>
      </c>
      <c r="D154" s="1154">
        <v>2</v>
      </c>
      <c r="E154" s="1154">
        <v>3</v>
      </c>
      <c r="F154" s="327"/>
      <c r="G154" s="324"/>
      <c r="I154" s="536"/>
      <c r="J154" s="536"/>
      <c r="K154" s="536"/>
      <c r="L154" s="536"/>
      <c r="M154" s="536"/>
      <c r="N154" s="536"/>
      <c r="O154" s="536"/>
      <c r="P154" s="536"/>
      <c r="Q154" s="536"/>
      <c r="R154" s="536"/>
      <c r="S154" s="536"/>
      <c r="T154" s="536"/>
      <c r="U154" s="536"/>
      <c r="V154" s="536"/>
      <c r="W154" s="536"/>
      <c r="X154" s="536"/>
      <c r="Y154" s="536"/>
      <c r="Z154" s="536"/>
      <c r="AA154" s="536"/>
      <c r="AB154" s="536"/>
      <c r="AC154" s="536"/>
      <c r="AD154" s="536"/>
      <c r="AE154" s="536"/>
      <c r="AF154" s="536"/>
      <c r="AG154" s="536"/>
      <c r="AH154" s="536"/>
      <c r="AI154" s="536"/>
      <c r="AJ154" s="536"/>
      <c r="AK154" s="536"/>
      <c r="AL154" s="536"/>
      <c r="AM154" s="536"/>
      <c r="AN154" s="536"/>
      <c r="AO154" s="536"/>
      <c r="AP154" s="536"/>
      <c r="AQ154" s="536"/>
      <c r="AR154" s="536"/>
      <c r="AS154" s="536"/>
      <c r="AT154" s="536"/>
      <c r="AU154" s="536"/>
      <c r="AV154" s="536"/>
      <c r="AW154" s="536"/>
      <c r="AX154" s="536"/>
      <c r="AY154" s="536"/>
      <c r="AZ154" s="536"/>
      <c r="BA154" s="536"/>
      <c r="BB154" s="536"/>
      <c r="BC154" s="536"/>
      <c r="BD154" s="536"/>
      <c r="BE154" s="536"/>
      <c r="BF154" s="536"/>
      <c r="BG154" s="536"/>
      <c r="BH154" s="536"/>
      <c r="BI154" s="536"/>
      <c r="BJ154" s="536"/>
      <c r="BK154" s="536"/>
      <c r="BL154" s="536"/>
      <c r="BM154" s="536"/>
      <c r="BN154" s="536"/>
      <c r="BO154" s="536"/>
      <c r="BP154" s="536"/>
      <c r="BQ154" s="536"/>
      <c r="BR154" s="536"/>
      <c r="BS154" s="536"/>
      <c r="BT154" s="536"/>
    </row>
    <row r="155" spans="1:72" ht="37.5">
      <c r="A155" s="1164">
        <v>1</v>
      </c>
      <c r="B155" s="1165" t="s">
        <v>62</v>
      </c>
      <c r="C155" s="1166">
        <f ca="1">C143</f>
        <v>151374593.55669484</v>
      </c>
      <c r="D155" s="1166">
        <f ca="1">D143</f>
        <v>94609120.972934276</v>
      </c>
      <c r="E155" s="1166">
        <f ca="1">E143</f>
        <v>132452769.36210798</v>
      </c>
      <c r="F155" s="324"/>
      <c r="G155" s="324"/>
      <c r="H155" s="327"/>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6"/>
      <c r="AK155" s="536"/>
      <c r="AL155" s="536"/>
      <c r="AM155" s="536"/>
      <c r="AN155" s="536"/>
      <c r="AO155" s="536"/>
      <c r="AP155" s="536"/>
      <c r="AQ155" s="536"/>
      <c r="AR155" s="536"/>
      <c r="AS155" s="536"/>
      <c r="AT155" s="536"/>
      <c r="AU155" s="536"/>
      <c r="AV155" s="536"/>
      <c r="AW155" s="536"/>
      <c r="AX155" s="536"/>
      <c r="AY155" s="536"/>
      <c r="AZ155" s="536"/>
      <c r="BA155" s="536"/>
      <c r="BB155" s="536"/>
      <c r="BC155" s="536"/>
      <c r="BD155" s="536"/>
      <c r="BE155" s="536"/>
      <c r="BF155" s="536"/>
      <c r="BG155" s="536"/>
      <c r="BH155" s="536"/>
      <c r="BI155" s="536"/>
      <c r="BJ155" s="536"/>
      <c r="BK155" s="536"/>
      <c r="BL155" s="536"/>
      <c r="BM155" s="536"/>
      <c r="BN155" s="536"/>
      <c r="BO155" s="536"/>
      <c r="BP155" s="536"/>
      <c r="BQ155" s="536"/>
      <c r="BR155" s="536"/>
      <c r="BS155" s="536"/>
      <c r="BT155" s="536"/>
    </row>
    <row r="156" spans="1:72" ht="18.75">
      <c r="A156" s="1157">
        <v>3</v>
      </c>
      <c r="B156" s="1158" t="s">
        <v>63</v>
      </c>
      <c r="C156" s="1167">
        <f ca="1">C155*(F150+F137)^C154</f>
        <v>152434215.71159169</v>
      </c>
      <c r="D156" s="1167">
        <f ca="1">D155*(F150+F137)^D154</f>
        <v>95938284.513483003</v>
      </c>
      <c r="E156" s="1167">
        <f ca="1">E155*(F150+F137)^E154</f>
        <v>135253793.5071083</v>
      </c>
      <c r="F156" s="324"/>
      <c r="G156" s="324"/>
      <c r="H156" s="327"/>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c r="AH156" s="536"/>
      <c r="AI156" s="536"/>
      <c r="AJ156" s="536"/>
      <c r="AK156" s="536"/>
      <c r="AL156" s="536"/>
      <c r="AM156" s="536"/>
      <c r="AN156" s="536"/>
      <c r="AO156" s="536"/>
      <c r="AP156" s="536"/>
      <c r="AQ156" s="536"/>
      <c r="AR156" s="536"/>
      <c r="AS156" s="536"/>
      <c r="AT156" s="536"/>
      <c r="AU156" s="536"/>
      <c r="AV156" s="536"/>
      <c r="AW156" s="536"/>
      <c r="AX156" s="536"/>
      <c r="AY156" s="536"/>
      <c r="AZ156" s="536"/>
      <c r="BA156" s="536"/>
      <c r="BB156" s="536"/>
      <c r="BC156" s="536"/>
      <c r="BD156" s="536"/>
      <c r="BE156" s="536"/>
      <c r="BF156" s="536"/>
      <c r="BG156" s="536"/>
      <c r="BH156" s="536"/>
      <c r="BI156" s="536"/>
      <c r="BJ156" s="536"/>
      <c r="BK156" s="536"/>
      <c r="BL156" s="536"/>
      <c r="BM156" s="536"/>
      <c r="BN156" s="536"/>
      <c r="BO156" s="536"/>
      <c r="BP156" s="536"/>
      <c r="BQ156" s="536"/>
      <c r="BR156" s="536"/>
      <c r="BS156" s="536"/>
      <c r="BT156" s="536"/>
    </row>
    <row r="157" spans="1:72" ht="18.75">
      <c r="A157" s="1157">
        <v>4</v>
      </c>
      <c r="B157" s="1158" t="s">
        <v>64</v>
      </c>
      <c r="C157" s="1167">
        <f ca="1">C155*((F150+F137)^C154-1)</f>
        <v>1059622.1548968479</v>
      </c>
      <c r="D157" s="1167">
        <f ca="1">D155*((F150+F137)^D154-1)</f>
        <v>1329163.5405487306</v>
      </c>
      <c r="E157" s="1167">
        <f ca="1">E155*((F150+F137)^E154-1)</f>
        <v>2801024.1450003278</v>
      </c>
      <c r="F157" s="324"/>
      <c r="G157" s="324"/>
      <c r="H157" s="327"/>
      <c r="I157" s="536"/>
      <c r="J157" s="536"/>
      <c r="K157" s="536"/>
      <c r="L157" s="536"/>
      <c r="M157" s="536"/>
      <c r="N157" s="536"/>
      <c r="O157" s="536"/>
      <c r="P157" s="536"/>
      <c r="Q157" s="536"/>
      <c r="R157" s="536"/>
      <c r="S157" s="536"/>
      <c r="T157" s="536"/>
      <c r="U157" s="536"/>
      <c r="V157" s="536"/>
      <c r="W157" s="536"/>
      <c r="X157" s="536"/>
      <c r="Y157" s="536"/>
      <c r="Z157" s="536"/>
      <c r="AA157" s="536"/>
      <c r="AB157" s="536"/>
      <c r="AC157" s="536"/>
      <c r="AD157" s="536"/>
      <c r="AE157" s="536"/>
      <c r="AF157" s="536"/>
      <c r="AG157" s="536"/>
      <c r="AH157" s="536"/>
      <c r="AI157" s="536"/>
      <c r="AJ157" s="536"/>
      <c r="AK157" s="536"/>
      <c r="AL157" s="536"/>
      <c r="AM157" s="536"/>
      <c r="AN157" s="536"/>
      <c r="AO157" s="536"/>
      <c r="AP157" s="536"/>
      <c r="AQ157" s="536"/>
      <c r="AR157" s="536"/>
      <c r="AS157" s="536"/>
      <c r="AT157" s="536"/>
      <c r="AU157" s="536"/>
      <c r="AV157" s="536"/>
      <c r="AW157" s="536"/>
      <c r="AX157" s="536"/>
      <c r="AY157" s="536"/>
      <c r="AZ157" s="536"/>
      <c r="BA157" s="536"/>
      <c r="BB157" s="536"/>
      <c r="BC157" s="536"/>
      <c r="BD157" s="536"/>
      <c r="BE157" s="536"/>
      <c r="BF157" s="536"/>
      <c r="BG157" s="536"/>
      <c r="BH157" s="536"/>
      <c r="BI157" s="536"/>
      <c r="BJ157" s="536"/>
      <c r="BK157" s="536"/>
      <c r="BL157" s="536"/>
      <c r="BM157" s="536"/>
      <c r="BN157" s="536"/>
      <c r="BO157" s="536"/>
      <c r="BP157" s="536"/>
      <c r="BQ157" s="536"/>
      <c r="BR157" s="536"/>
      <c r="BS157" s="536"/>
      <c r="BT157" s="536"/>
    </row>
    <row r="158" spans="1:72" ht="20.25">
      <c r="A158" s="1160">
        <v>5</v>
      </c>
      <c r="B158" s="1161" t="s">
        <v>810</v>
      </c>
      <c r="C158" s="1168">
        <f ca="1">C157</f>
        <v>1059622.1548968479</v>
      </c>
      <c r="D158" s="1168">
        <f ca="1">C158+D157</f>
        <v>2388785.6954455785</v>
      </c>
      <c r="E158" s="1168">
        <f ca="1">D158+E157</f>
        <v>5189809.8404459059</v>
      </c>
      <c r="F158" s="324"/>
      <c r="G158" s="324"/>
      <c r="H158" s="327"/>
      <c r="I158" s="536"/>
      <c r="J158" s="536"/>
      <c r="K158" s="536"/>
      <c r="L158" s="536"/>
      <c r="M158" s="536"/>
      <c r="N158" s="536"/>
      <c r="O158" s="536"/>
      <c r="P158" s="536"/>
      <c r="Q158" s="536"/>
      <c r="R158" s="536"/>
      <c r="S158" s="536"/>
      <c r="T158" s="536"/>
      <c r="U158" s="536"/>
      <c r="V158" s="536"/>
      <c r="W158" s="536"/>
      <c r="X158" s="536"/>
      <c r="Y158" s="536"/>
      <c r="Z158" s="536"/>
      <c r="AA158" s="536"/>
      <c r="AB158" s="536"/>
      <c r="AC158" s="536"/>
      <c r="AD158" s="536"/>
      <c r="AE158" s="536"/>
      <c r="AF158" s="536"/>
      <c r="AG158" s="536"/>
      <c r="AH158" s="536"/>
      <c r="AI158" s="536"/>
      <c r="AJ158" s="536"/>
      <c r="AK158" s="536"/>
      <c r="AL158" s="536"/>
      <c r="AM158" s="536"/>
      <c r="AN158" s="536"/>
      <c r="AO158" s="536"/>
      <c r="AP158" s="536"/>
      <c r="AQ158" s="536"/>
      <c r="AR158" s="536"/>
      <c r="AS158" s="536"/>
      <c r="AT158" s="536"/>
      <c r="AU158" s="536"/>
      <c r="AV158" s="536"/>
      <c r="AW158" s="536"/>
      <c r="AX158" s="536"/>
      <c r="AY158" s="536"/>
      <c r="AZ158" s="536"/>
      <c r="BA158" s="536"/>
      <c r="BB158" s="536"/>
      <c r="BC158" s="536"/>
      <c r="BD158" s="536"/>
      <c r="BE158" s="536"/>
      <c r="BF158" s="536"/>
      <c r="BG158" s="536"/>
      <c r="BH158" s="536"/>
      <c r="BI158" s="536"/>
      <c r="BJ158" s="536"/>
      <c r="BK158" s="536"/>
      <c r="BL158" s="536"/>
      <c r="BM158" s="536"/>
      <c r="BN158" s="536"/>
      <c r="BO158" s="536"/>
      <c r="BP158" s="536"/>
      <c r="BQ158" s="536"/>
      <c r="BR158" s="536"/>
      <c r="BS158" s="536"/>
      <c r="BT158" s="536"/>
    </row>
    <row r="159" spans="1:72" ht="18.75">
      <c r="A159" s="324"/>
      <c r="B159" s="324"/>
      <c r="C159" s="324"/>
      <c r="D159" s="324"/>
      <c r="E159" s="324"/>
      <c r="F159" s="324"/>
      <c r="G159" s="324"/>
      <c r="H159" s="324"/>
    </row>
    <row r="160" spans="1:72" ht="20.25">
      <c r="A160" s="324"/>
      <c r="B160" s="1169"/>
      <c r="C160" s="1143" t="s">
        <v>811</v>
      </c>
      <c r="D160" s="2514">
        <f ca="1">C124+E158</f>
        <v>24111634.03503276</v>
      </c>
      <c r="E160" s="2514"/>
      <c r="F160" s="324"/>
      <c r="G160" s="324"/>
      <c r="H160" s="324"/>
    </row>
    <row r="161" spans="1:8" ht="18.75">
      <c r="A161" s="324"/>
      <c r="B161" s="1169"/>
      <c r="C161" s="1143" t="s">
        <v>827</v>
      </c>
      <c r="D161" s="1181">
        <f ca="1">ROUND(IFERROR(D160/C121,0)-E124,2)</f>
        <v>0.01</v>
      </c>
      <c r="E161" s="1175"/>
      <c r="F161" s="324"/>
      <c r="G161" s="324"/>
      <c r="H161" s="324"/>
    </row>
    <row r="162" spans="1:8" ht="18.75">
      <c r="A162" s="324"/>
      <c r="B162" s="1169"/>
      <c r="C162" s="1143" t="s">
        <v>371</v>
      </c>
      <c r="D162" s="1174">
        <f ca="1">ROUND(IF(C121=0,0,D160/C121),2)</f>
        <v>0.06</v>
      </c>
      <c r="E162" s="221"/>
      <c r="F162" s="324"/>
      <c r="G162" s="324"/>
      <c r="H162" s="324"/>
    </row>
    <row r="163" spans="1:8" ht="18.75">
      <c r="A163" s="324"/>
      <c r="B163" s="324"/>
      <c r="C163" s="1171"/>
      <c r="D163" s="324"/>
      <c r="E163" s="324"/>
      <c r="F163" s="324"/>
      <c r="G163" s="324"/>
      <c r="H163" s="324"/>
    </row>
    <row r="164" spans="1:8" ht="18.75">
      <c r="A164" s="324"/>
      <c r="B164" s="324"/>
      <c r="C164" s="324"/>
      <c r="D164" s="324"/>
      <c r="E164" s="324"/>
      <c r="F164" s="324"/>
      <c r="G164" s="324"/>
      <c r="H164" s="324"/>
    </row>
    <row r="165" spans="1:8" ht="22.5">
      <c r="A165" s="257" t="s">
        <v>370</v>
      </c>
      <c r="B165" s="8"/>
      <c r="C165" s="8"/>
      <c r="D165" s="8"/>
      <c r="E165" s="287"/>
      <c r="F165" s="287"/>
      <c r="G165" s="324"/>
      <c r="H165" s="324"/>
    </row>
    <row r="166" spans="1:8" ht="18.75">
      <c r="A166"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166" s="28"/>
      <c r="C166" s="28"/>
      <c r="D166" s="28"/>
      <c r="E166" s="1172"/>
      <c r="F166" s="1172"/>
      <c r="G166" s="324"/>
      <c r="H166" s="324"/>
    </row>
    <row r="167" spans="1:8" ht="18.75">
      <c r="A167" s="1019" t="str">
        <f>'Bia-Dutoan'!D43&amp;'Bia-Dutoan'!E43</f>
        <v>CÔNG TRÌNH: NHÀ 01 TẦNG, TƯỜNG CHỊU LỰC 110MM, MÁI LỢP FIBRÔXIMĂNG, KHÔNG CÓ KHU VỆ SINH KHÉP KÍN</v>
      </c>
      <c r="B167" s="321"/>
      <c r="C167" s="28"/>
      <c r="D167" s="28"/>
      <c r="E167" s="1172"/>
      <c r="F167" s="1172"/>
      <c r="G167" s="324"/>
      <c r="H167" s="324"/>
    </row>
    <row r="168" spans="1:8" ht="18.75">
      <c r="A168" s="221"/>
      <c r="B168" s="221"/>
      <c r="C168" s="325"/>
      <c r="D168" s="739"/>
      <c r="E168" s="221"/>
      <c r="F168" s="221"/>
      <c r="G168" s="221"/>
      <c r="H168" s="221"/>
    </row>
    <row r="169" spans="1:8" ht="21.75">
      <c r="A169" s="324"/>
      <c r="B169" s="227" t="s">
        <v>836</v>
      </c>
      <c r="C169" s="1139">
        <f ca="1">'THCP thiet bi'!G26</f>
        <v>0</v>
      </c>
      <c r="D169" s="221"/>
      <c r="E169" s="221"/>
      <c r="F169" s="221"/>
      <c r="G169" s="221"/>
      <c r="H169" s="324"/>
    </row>
    <row r="170" spans="1:8" ht="18.75">
      <c r="A170" s="113"/>
      <c r="B170" s="324"/>
      <c r="C170" s="324"/>
      <c r="D170" s="1140"/>
      <c r="E170" s="1140"/>
      <c r="F170" s="1140"/>
      <c r="G170" s="1140"/>
      <c r="H170" s="324"/>
    </row>
    <row r="171" spans="1:8" ht="20.25">
      <c r="A171" s="1140" t="s">
        <v>829</v>
      </c>
      <c r="B171" s="6"/>
      <c r="C171" s="8"/>
      <c r="D171" s="8"/>
      <c r="E171" s="8"/>
      <c r="F171" s="8"/>
      <c r="G171" s="8"/>
      <c r="H171" s="324"/>
    </row>
    <row r="172" spans="1:8" ht="18.75">
      <c r="A172" s="1141"/>
      <c r="B172" s="6"/>
      <c r="C172" s="8"/>
      <c r="F172" s="221"/>
      <c r="G172" s="221"/>
      <c r="H172" s="324"/>
    </row>
    <row r="173" spans="1:8" ht="20.25">
      <c r="A173" s="8"/>
      <c r="B173" s="1143" t="s">
        <v>831</v>
      </c>
      <c r="C173" s="1142">
        <f ca="1">$E$173*C169</f>
        <v>0</v>
      </c>
      <c r="D173" s="1143" t="s">
        <v>822</v>
      </c>
      <c r="E173" s="1144">
        <v>0.05</v>
      </c>
      <c r="F173" s="324"/>
      <c r="G173" s="1140"/>
      <c r="H173" s="324"/>
    </row>
    <row r="174" spans="1:8" ht="20.25">
      <c r="A174" s="1140" t="s">
        <v>814</v>
      </c>
      <c r="B174" s="6"/>
      <c r="C174" s="8"/>
      <c r="D174" s="8"/>
      <c r="E174" s="8"/>
      <c r="F174" s="8"/>
      <c r="G174" s="8"/>
      <c r="H174" s="324"/>
    </row>
    <row r="175" spans="1:8" ht="18.75">
      <c r="A175" s="1145"/>
      <c r="B175" s="790" t="s">
        <v>1025</v>
      </c>
      <c r="C175" s="8"/>
      <c r="D175" s="8"/>
      <c r="E175" s="8"/>
      <c r="F175" s="8"/>
      <c r="G175" s="8"/>
      <c r="H175" s="324"/>
    </row>
    <row r="176" spans="1:8" ht="18.75">
      <c r="A176" s="739" t="s">
        <v>1019</v>
      </c>
      <c r="B176" s="6"/>
      <c r="C176" s="8"/>
      <c r="D176" s="8"/>
      <c r="E176" s="8"/>
      <c r="F176" s="8"/>
      <c r="G176" s="8"/>
      <c r="H176" s="324"/>
    </row>
    <row r="177" spans="1:72" ht="18.75">
      <c r="A177" s="739" t="s">
        <v>1020</v>
      </c>
      <c r="B177" s="6"/>
      <c r="C177" s="8"/>
      <c r="D177" s="8"/>
      <c r="E177" s="8"/>
      <c r="F177" s="8"/>
      <c r="G177" s="8"/>
      <c r="H177" s="324"/>
    </row>
    <row r="178" spans="1:72" ht="22.5">
      <c r="A178" s="739" t="s">
        <v>1028</v>
      </c>
      <c r="B178" s="221"/>
      <c r="C178" s="221"/>
      <c r="D178" s="8"/>
      <c r="E178" s="8"/>
      <c r="F178" s="221"/>
      <c r="G178" s="221"/>
      <c r="H178" s="324"/>
    </row>
    <row r="179" spans="1:72" s="324" customFormat="1" ht="20.100000000000001" customHeight="1">
      <c r="A179" s="739" t="s">
        <v>816</v>
      </c>
      <c r="B179" s="221"/>
      <c r="C179" s="221"/>
      <c r="D179" s="8"/>
      <c r="E179" s="8"/>
      <c r="F179" s="221"/>
    </row>
    <row r="180" spans="1:72" s="324" customFormat="1" ht="20.100000000000001" customHeight="1">
      <c r="A180" s="739"/>
      <c r="B180" s="221"/>
      <c r="C180" s="221"/>
      <c r="D180" s="8"/>
      <c r="E180" s="8"/>
      <c r="F180" s="221"/>
    </row>
    <row r="181" spans="1:72" s="324" customFormat="1" ht="26.45" customHeight="1">
      <c r="A181" s="739"/>
      <c r="B181" s="221"/>
      <c r="C181" s="221"/>
      <c r="D181" s="8"/>
      <c r="E181" s="8"/>
      <c r="F181" s="221"/>
    </row>
    <row r="182" spans="1:72" s="324" customFormat="1" ht="26.45" customHeight="1">
      <c r="A182" s="1177" t="s">
        <v>817</v>
      </c>
      <c r="B182" s="221"/>
      <c r="C182" s="221"/>
      <c r="D182" s="8"/>
      <c r="E182" s="8"/>
      <c r="F182" s="221"/>
    </row>
    <row r="183" spans="1:72" s="324" customFormat="1" ht="26.45" customHeight="1">
      <c r="A183" s="1178" t="s">
        <v>866</v>
      </c>
      <c r="B183" s="221"/>
      <c r="C183" s="221"/>
      <c r="D183" s="8"/>
      <c r="E183" s="8"/>
      <c r="F183" s="221"/>
    </row>
    <row r="184" spans="1:72" s="324" customFormat="1" ht="26.45" customHeight="1">
      <c r="A184" s="1178" t="s">
        <v>818</v>
      </c>
      <c r="B184" s="221"/>
      <c r="C184" s="221"/>
      <c r="D184" s="8"/>
      <c r="E184" s="8"/>
      <c r="F184" s="221"/>
    </row>
    <row r="185" spans="1:72" s="324" customFormat="1" ht="26.45" customHeight="1">
      <c r="A185" s="1178" t="s">
        <v>819</v>
      </c>
      <c r="B185" s="221"/>
      <c r="C185" s="221"/>
      <c r="D185" s="8"/>
      <c r="E185" s="8"/>
      <c r="F185" s="221"/>
    </row>
    <row r="186" spans="1:72" ht="59.45" customHeight="1">
      <c r="A186" s="2515" t="s">
        <v>1023</v>
      </c>
      <c r="B186" s="2516"/>
      <c r="C186" s="2516"/>
      <c r="D186" s="2516"/>
      <c r="E186" s="2517"/>
      <c r="F186" s="1176">
        <f>F85</f>
        <v>0</v>
      </c>
      <c r="G186" s="324"/>
      <c r="H186" s="324"/>
    </row>
    <row r="187" spans="1:72" ht="30.75" customHeight="1">
      <c r="A187" s="221"/>
      <c r="B187" s="221"/>
      <c r="C187" s="221"/>
      <c r="D187" s="221"/>
      <c r="E187" s="221"/>
      <c r="F187" s="221"/>
      <c r="G187" s="221"/>
      <c r="H187" s="324"/>
    </row>
    <row r="188" spans="1:72" ht="18.75">
      <c r="A188" s="8" t="s">
        <v>56</v>
      </c>
      <c r="B188" s="6"/>
      <c r="C188" s="8"/>
      <c r="D188" s="8"/>
      <c r="E188" s="8"/>
      <c r="F188" s="8"/>
      <c r="G188" s="8"/>
      <c r="H188" s="324"/>
    </row>
    <row r="189" spans="1:72" ht="18.75">
      <c r="A189" s="2518" t="s">
        <v>196</v>
      </c>
      <c r="B189" s="2518" t="s">
        <v>57</v>
      </c>
      <c r="C189" s="1146" t="s">
        <v>835</v>
      </c>
      <c r="D189" s="1146"/>
      <c r="E189" s="1146"/>
      <c r="F189" s="327"/>
      <c r="G189" s="327"/>
      <c r="H189" s="327"/>
      <c r="I189" s="536"/>
      <c r="J189" s="536"/>
      <c r="K189" s="536"/>
      <c r="L189" s="536"/>
      <c r="M189" s="536"/>
      <c r="N189" s="536"/>
      <c r="O189" s="536"/>
      <c r="P189" s="536"/>
      <c r="Q189" s="536"/>
      <c r="R189" s="536"/>
      <c r="S189" s="536"/>
      <c r="T189" s="536"/>
      <c r="U189" s="536"/>
      <c r="V189" s="536"/>
      <c r="W189" s="536"/>
      <c r="X189" s="536"/>
      <c r="Y189" s="536"/>
      <c r="Z189" s="536"/>
      <c r="AA189" s="536"/>
      <c r="AB189" s="536"/>
      <c r="AC189" s="536"/>
      <c r="AD189" s="536"/>
      <c r="AE189" s="536"/>
      <c r="AF189" s="536"/>
      <c r="AG189" s="536"/>
      <c r="AH189" s="536"/>
      <c r="AI189" s="536"/>
      <c r="AJ189" s="536"/>
      <c r="AK189" s="536"/>
      <c r="AL189" s="536"/>
      <c r="AM189" s="536"/>
      <c r="AN189" s="536"/>
      <c r="AO189" s="536"/>
      <c r="AP189" s="536"/>
      <c r="AQ189" s="536"/>
      <c r="AR189" s="536"/>
      <c r="AS189" s="536"/>
      <c r="AT189" s="536"/>
      <c r="AU189" s="536"/>
      <c r="AV189" s="536"/>
      <c r="AW189" s="536"/>
      <c r="AX189" s="536"/>
      <c r="AY189" s="536"/>
      <c r="AZ189" s="536"/>
      <c r="BA189" s="536"/>
      <c r="BB189" s="536"/>
      <c r="BC189" s="536"/>
      <c r="BD189" s="536"/>
      <c r="BE189" s="536"/>
      <c r="BF189" s="536"/>
      <c r="BG189" s="536"/>
      <c r="BH189" s="536"/>
      <c r="BI189" s="536"/>
      <c r="BJ189" s="536"/>
      <c r="BK189" s="536"/>
      <c r="BL189" s="536"/>
      <c r="BM189" s="536"/>
      <c r="BN189" s="536"/>
      <c r="BO189" s="536"/>
      <c r="BP189" s="536"/>
      <c r="BQ189" s="536"/>
      <c r="BR189" s="536"/>
      <c r="BS189" s="536"/>
      <c r="BT189" s="536"/>
    </row>
    <row r="190" spans="1:72" ht="18.75">
      <c r="A190" s="2518"/>
      <c r="B190" s="2518"/>
      <c r="C190" s="1147">
        <v>1</v>
      </c>
      <c r="D190" s="1147">
        <v>2</v>
      </c>
      <c r="E190" s="1147">
        <v>3</v>
      </c>
      <c r="F190" s="1148">
        <v>3</v>
      </c>
      <c r="G190" s="8"/>
      <c r="I190" s="536"/>
      <c r="J190" s="536"/>
      <c r="K190" s="536"/>
      <c r="L190" s="536"/>
      <c r="M190" s="536"/>
      <c r="N190" s="536"/>
      <c r="O190" s="536"/>
      <c r="P190" s="536"/>
      <c r="Q190" s="536"/>
      <c r="R190" s="536"/>
      <c r="S190" s="536"/>
      <c r="T190" s="536"/>
      <c r="U190" s="536"/>
      <c r="V190" s="536"/>
      <c r="W190" s="536"/>
      <c r="X190" s="536"/>
      <c r="Y190" s="536"/>
      <c r="Z190" s="536"/>
      <c r="AA190" s="536"/>
      <c r="AB190" s="536"/>
      <c r="AC190" s="536"/>
      <c r="AD190" s="536"/>
      <c r="AE190" s="536"/>
      <c r="AF190" s="536"/>
      <c r="AG190" s="536"/>
      <c r="AH190" s="536"/>
      <c r="AI190" s="536"/>
      <c r="AJ190" s="536"/>
      <c r="AK190" s="536"/>
      <c r="AL190" s="536"/>
      <c r="AM190" s="536"/>
      <c r="AN190" s="536"/>
      <c r="AO190" s="536"/>
      <c r="AP190" s="536"/>
      <c r="AQ190" s="536"/>
      <c r="AR190" s="536"/>
      <c r="AS190" s="536"/>
      <c r="AT190" s="536"/>
      <c r="AU190" s="536"/>
      <c r="AV190" s="536"/>
      <c r="AW190" s="536"/>
      <c r="AX190" s="536"/>
      <c r="AY190" s="536"/>
      <c r="AZ190" s="536"/>
      <c r="BA190" s="536"/>
      <c r="BB190" s="536"/>
      <c r="BC190" s="536"/>
      <c r="BD190" s="536"/>
      <c r="BE190" s="536"/>
      <c r="BF190" s="536"/>
      <c r="BG190" s="536"/>
      <c r="BH190" s="536"/>
      <c r="BI190" s="536"/>
      <c r="BJ190" s="536"/>
      <c r="BK190" s="536"/>
      <c r="BL190" s="536"/>
      <c r="BM190" s="536"/>
      <c r="BN190" s="536"/>
      <c r="BO190" s="536"/>
      <c r="BP190" s="536"/>
      <c r="BQ190" s="536"/>
      <c r="BR190" s="536"/>
      <c r="BS190" s="536"/>
      <c r="BT190" s="536"/>
    </row>
    <row r="191" spans="1:72" ht="18.75">
      <c r="A191" s="1149">
        <v>1</v>
      </c>
      <c r="B191" s="1150" t="s">
        <v>58</v>
      </c>
      <c r="C191" s="1151">
        <v>0.4</v>
      </c>
      <c r="D191" s="1151">
        <v>0.25</v>
      </c>
      <c r="E191" s="1151">
        <v>0.35</v>
      </c>
      <c r="F191" s="8"/>
      <c r="G191" s="8"/>
      <c r="H191" s="327"/>
      <c r="I191" s="536"/>
      <c r="J191" s="536"/>
      <c r="K191" s="536"/>
      <c r="L191" s="536"/>
      <c r="M191" s="536"/>
      <c r="N191" s="536"/>
      <c r="O191" s="536"/>
      <c r="P191" s="536"/>
      <c r="Q191" s="536"/>
      <c r="R191" s="536"/>
      <c r="S191" s="536"/>
      <c r="T191" s="536"/>
      <c r="U191" s="536"/>
      <c r="V191" s="536"/>
      <c r="W191" s="536"/>
      <c r="X191" s="536"/>
      <c r="Y191" s="536"/>
      <c r="Z191" s="536"/>
      <c r="AA191" s="536"/>
      <c r="AB191" s="536"/>
      <c r="AC191" s="536"/>
      <c r="AD191" s="536"/>
      <c r="AE191" s="536"/>
      <c r="AF191" s="536"/>
      <c r="AG191" s="536"/>
      <c r="AH191" s="536"/>
      <c r="AI191" s="536"/>
      <c r="AJ191" s="536"/>
      <c r="AK191" s="536"/>
      <c r="AL191" s="536"/>
      <c r="AM191" s="536"/>
      <c r="AN191" s="536"/>
      <c r="AO191" s="536"/>
      <c r="AP191" s="536"/>
      <c r="AQ191" s="536"/>
      <c r="AR191" s="536"/>
      <c r="AS191" s="536"/>
      <c r="AT191" s="536"/>
      <c r="AU191" s="536"/>
      <c r="AV191" s="536"/>
      <c r="AW191" s="536"/>
      <c r="AX191" s="536"/>
      <c r="AY191" s="536"/>
      <c r="AZ191" s="536"/>
      <c r="BA191" s="536"/>
      <c r="BB191" s="536"/>
      <c r="BC191" s="536"/>
      <c r="BD191" s="536"/>
      <c r="BE191" s="536"/>
      <c r="BF191" s="536"/>
      <c r="BG191" s="536"/>
      <c r="BH191" s="536"/>
      <c r="BI191" s="536"/>
      <c r="BJ191" s="536"/>
      <c r="BK191" s="536"/>
      <c r="BL191" s="536"/>
      <c r="BM191" s="536"/>
      <c r="BN191" s="536"/>
      <c r="BO191" s="536"/>
      <c r="BP191" s="536"/>
      <c r="BQ191" s="536"/>
      <c r="BR191" s="536"/>
      <c r="BS191" s="536"/>
      <c r="BT191" s="536"/>
    </row>
    <row r="192" spans="1:72" ht="18.75">
      <c r="A192" s="1149">
        <v>2</v>
      </c>
      <c r="B192" s="1150" t="s">
        <v>59</v>
      </c>
      <c r="C192" s="1152">
        <f ca="1">C191*$C$169</f>
        <v>0</v>
      </c>
      <c r="D192" s="1152">
        <f ca="1">D191*$C$169</f>
        <v>0</v>
      </c>
      <c r="E192" s="1152">
        <f ca="1">E191*$C$169</f>
        <v>0</v>
      </c>
      <c r="F192" s="8"/>
      <c r="G192" s="8"/>
      <c r="H192" s="327"/>
      <c r="I192" s="536"/>
      <c r="J192" s="536"/>
      <c r="K192" s="536"/>
      <c r="L192" s="536"/>
      <c r="M192" s="536"/>
      <c r="N192" s="536"/>
      <c r="O192" s="536"/>
      <c r="P192" s="536"/>
      <c r="Q192" s="536"/>
      <c r="R192" s="536"/>
      <c r="S192" s="536"/>
      <c r="T192" s="536"/>
      <c r="U192" s="536"/>
      <c r="V192" s="536"/>
      <c r="W192" s="536"/>
      <c r="X192" s="536"/>
      <c r="Y192" s="536"/>
      <c r="Z192" s="536"/>
      <c r="AA192" s="536"/>
      <c r="AB192" s="536"/>
      <c r="AC192" s="536"/>
      <c r="AD192" s="536"/>
      <c r="AE192" s="536"/>
      <c r="AF192" s="536"/>
      <c r="AG192" s="536"/>
      <c r="AH192" s="536"/>
      <c r="AI192" s="536"/>
      <c r="AJ192" s="536"/>
      <c r="AK192" s="536"/>
      <c r="AL192" s="536"/>
      <c r="AM192" s="536"/>
      <c r="AN192" s="536"/>
      <c r="AO192" s="536"/>
      <c r="AP192" s="536"/>
      <c r="AQ192" s="536"/>
      <c r="AR192" s="536"/>
      <c r="AS192" s="536"/>
      <c r="AT192" s="536"/>
      <c r="AU192" s="536"/>
      <c r="AV192" s="536"/>
      <c r="AW192" s="536"/>
      <c r="AX192" s="536"/>
      <c r="AY192" s="536"/>
      <c r="AZ192" s="536"/>
      <c r="BA192" s="536"/>
      <c r="BB192" s="536"/>
      <c r="BC192" s="536"/>
      <c r="BD192" s="536"/>
      <c r="BE192" s="536"/>
      <c r="BF192" s="536"/>
      <c r="BG192" s="536"/>
      <c r="BH192" s="536"/>
      <c r="BI192" s="536"/>
      <c r="BJ192" s="536"/>
      <c r="BK192" s="536"/>
      <c r="BL192" s="536"/>
      <c r="BM192" s="536"/>
      <c r="BN192" s="536"/>
      <c r="BO192" s="536"/>
      <c r="BP192" s="536"/>
      <c r="BQ192" s="536"/>
      <c r="BR192" s="536"/>
      <c r="BS192" s="536"/>
      <c r="BT192" s="536"/>
    </row>
    <row r="193" spans="1:72" ht="18.75">
      <c r="A193" s="221"/>
      <c r="B193" s="221"/>
      <c r="C193" s="221"/>
      <c r="D193" s="221"/>
      <c r="E193" s="221"/>
      <c r="F193" s="8"/>
      <c r="G193" s="8"/>
      <c r="H193" s="327"/>
      <c r="I193" s="536"/>
      <c r="J193" s="536"/>
      <c r="K193" s="536"/>
      <c r="L193" s="536"/>
      <c r="M193" s="536"/>
      <c r="N193" s="536"/>
      <c r="O193" s="536"/>
      <c r="P193" s="536"/>
      <c r="Q193" s="536"/>
      <c r="R193" s="536"/>
      <c r="S193" s="536"/>
      <c r="T193" s="536"/>
      <c r="U193" s="536"/>
      <c r="V193" s="536"/>
      <c r="W193" s="536"/>
      <c r="X193" s="536"/>
      <c r="Y193" s="536"/>
      <c r="Z193" s="536"/>
      <c r="AA193" s="536"/>
      <c r="AB193" s="536"/>
      <c r="AC193" s="536"/>
      <c r="AD193" s="536"/>
      <c r="AE193" s="536"/>
      <c r="AF193" s="536"/>
      <c r="AG193" s="536"/>
      <c r="AH193" s="536"/>
      <c r="AI193" s="536"/>
      <c r="AJ193" s="536"/>
      <c r="AK193" s="536"/>
      <c r="AL193" s="536"/>
      <c r="AM193" s="536"/>
      <c r="AN193" s="536"/>
      <c r="AO193" s="536"/>
      <c r="AP193" s="536"/>
      <c r="AQ193" s="536"/>
      <c r="AR193" s="536"/>
      <c r="AS193" s="536"/>
      <c r="AT193" s="536"/>
      <c r="AU193" s="536"/>
      <c r="AV193" s="536"/>
      <c r="AW193" s="536"/>
      <c r="AX193" s="536"/>
      <c r="AY193" s="536"/>
      <c r="AZ193" s="536"/>
      <c r="BA193" s="536"/>
      <c r="BB193" s="536"/>
      <c r="BC193" s="536"/>
      <c r="BD193" s="536"/>
      <c r="BE193" s="536"/>
      <c r="BF193" s="536"/>
      <c r="BG193" s="536"/>
      <c r="BH193" s="536"/>
      <c r="BI193" s="536"/>
      <c r="BJ193" s="536"/>
      <c r="BK193" s="536"/>
      <c r="BL193" s="536"/>
      <c r="BM193" s="536"/>
      <c r="BN193" s="536"/>
      <c r="BO193" s="536"/>
      <c r="BP193" s="536"/>
      <c r="BQ193" s="536"/>
      <c r="BR193" s="536"/>
      <c r="BS193" s="536"/>
      <c r="BT193" s="536"/>
    </row>
    <row r="194" spans="1:72" ht="18.75">
      <c r="A194" s="1153" t="s">
        <v>610</v>
      </c>
      <c r="B194" s="6"/>
      <c r="C194" s="8"/>
      <c r="D194" s="8"/>
      <c r="E194" s="8"/>
      <c r="F194" s="8"/>
      <c r="G194" s="221"/>
      <c r="H194" s="327"/>
      <c r="I194" s="536"/>
      <c r="J194" s="536"/>
      <c r="K194" s="536"/>
      <c r="L194" s="536"/>
      <c r="M194" s="536"/>
      <c r="N194" s="536"/>
      <c r="O194" s="536"/>
      <c r="P194" s="536"/>
      <c r="Q194" s="536"/>
      <c r="R194" s="536"/>
      <c r="S194" s="536"/>
      <c r="T194" s="536"/>
      <c r="U194" s="536"/>
      <c r="V194" s="536"/>
      <c r="W194" s="536"/>
      <c r="X194" s="536"/>
      <c r="Y194" s="536"/>
      <c r="Z194" s="536"/>
      <c r="AA194" s="536"/>
      <c r="AB194" s="536"/>
      <c r="AC194" s="536"/>
      <c r="AD194" s="536"/>
      <c r="AE194" s="536"/>
      <c r="AF194" s="536"/>
      <c r="AG194" s="536"/>
      <c r="AH194" s="536"/>
      <c r="AI194" s="536"/>
      <c r="AJ194" s="536"/>
      <c r="AK194" s="536"/>
      <c r="AL194" s="536"/>
      <c r="AM194" s="536"/>
      <c r="AN194" s="536"/>
      <c r="AO194" s="536"/>
      <c r="AP194" s="536"/>
      <c r="AQ194" s="536"/>
      <c r="AR194" s="536"/>
      <c r="AS194" s="536"/>
      <c r="AT194" s="536"/>
      <c r="AU194" s="536"/>
      <c r="AV194" s="536"/>
      <c r="AW194" s="536"/>
      <c r="AX194" s="536"/>
      <c r="AY194" s="536"/>
      <c r="AZ194" s="536"/>
      <c r="BA194" s="536"/>
      <c r="BB194" s="536"/>
      <c r="BC194" s="536"/>
      <c r="BD194" s="536"/>
      <c r="BE194" s="536"/>
      <c r="BF194" s="536"/>
      <c r="BG194" s="536"/>
      <c r="BH194" s="536"/>
      <c r="BI194" s="536"/>
      <c r="BJ194" s="536"/>
      <c r="BK194" s="536"/>
      <c r="BL194" s="536"/>
      <c r="BM194" s="536"/>
      <c r="BN194" s="536"/>
      <c r="BO194" s="536"/>
      <c r="BP194" s="536"/>
      <c r="BQ194" s="536"/>
      <c r="BR194" s="536"/>
      <c r="BS194" s="536"/>
      <c r="BT194" s="536"/>
    </row>
    <row r="195" spans="1:72" ht="18.75">
      <c r="A195" s="2510" t="s">
        <v>196</v>
      </c>
      <c r="B195" s="2512" t="s">
        <v>60</v>
      </c>
      <c r="C195" s="1146" t="s">
        <v>865</v>
      </c>
      <c r="D195" s="1146"/>
      <c r="E195" s="1146"/>
      <c r="F195" s="1146"/>
      <c r="G195" s="221"/>
      <c r="H195" s="327"/>
      <c r="I195" s="536"/>
      <c r="J195" s="536"/>
      <c r="K195" s="536"/>
      <c r="L195" s="536"/>
      <c r="M195" s="536"/>
      <c r="N195" s="536"/>
      <c r="O195" s="536"/>
      <c r="P195" s="536"/>
      <c r="Q195" s="536"/>
      <c r="R195" s="536"/>
      <c r="S195" s="536"/>
      <c r="T195" s="536"/>
      <c r="U195" s="536"/>
      <c r="V195" s="536"/>
      <c r="W195" s="536"/>
      <c r="X195" s="536"/>
      <c r="Y195" s="536"/>
      <c r="Z195" s="536"/>
      <c r="AA195" s="536"/>
      <c r="AB195" s="536"/>
      <c r="AC195" s="536"/>
      <c r="AD195" s="536"/>
      <c r="AE195" s="536"/>
      <c r="AF195" s="536"/>
      <c r="AG195" s="536"/>
      <c r="AH195" s="536"/>
      <c r="AI195" s="536"/>
      <c r="AJ195" s="536"/>
      <c r="AK195" s="536"/>
      <c r="AL195" s="536"/>
      <c r="AM195" s="536"/>
      <c r="AN195" s="536"/>
      <c r="AO195" s="536"/>
      <c r="AP195" s="536"/>
      <c r="AQ195" s="536"/>
      <c r="AR195" s="536"/>
      <c r="AS195" s="536"/>
      <c r="AT195" s="536"/>
      <c r="AU195" s="536"/>
      <c r="AV195" s="536"/>
      <c r="AW195" s="536"/>
      <c r="AX195" s="536"/>
      <c r="AY195" s="536"/>
      <c r="AZ195" s="536"/>
      <c r="BA195" s="536"/>
      <c r="BB195" s="536"/>
      <c r="BC195" s="536"/>
      <c r="BD195" s="536"/>
      <c r="BE195" s="536"/>
      <c r="BF195" s="536"/>
      <c r="BG195" s="536"/>
      <c r="BH195" s="536"/>
      <c r="BI195" s="536"/>
      <c r="BJ195" s="536"/>
      <c r="BK195" s="536"/>
      <c r="BL195" s="536"/>
      <c r="BM195" s="536"/>
      <c r="BN195" s="536"/>
      <c r="BO195" s="536"/>
      <c r="BP195" s="536"/>
      <c r="BQ195" s="536"/>
      <c r="BR195" s="536"/>
      <c r="BS195" s="536"/>
      <c r="BT195" s="536"/>
    </row>
    <row r="196" spans="1:72" ht="18.75">
      <c r="A196" s="2511"/>
      <c r="B196" s="2513"/>
      <c r="C196" s="1154">
        <v>2017</v>
      </c>
      <c r="D196" s="1154">
        <v>2018</v>
      </c>
      <c r="E196" s="1154">
        <v>2019</v>
      </c>
      <c r="F196" s="1154">
        <v>2020</v>
      </c>
      <c r="G196" s="1148">
        <v>4</v>
      </c>
      <c r="I196" s="536"/>
      <c r="J196" s="536"/>
      <c r="K196" s="536"/>
      <c r="L196" s="536"/>
      <c r="M196" s="536"/>
      <c r="N196" s="536"/>
      <c r="O196" s="536"/>
      <c r="P196" s="536"/>
      <c r="Q196" s="536"/>
      <c r="R196" s="536"/>
      <c r="S196" s="536"/>
      <c r="T196" s="536"/>
      <c r="U196" s="536"/>
      <c r="V196" s="536"/>
      <c r="W196" s="536"/>
      <c r="X196" s="536"/>
      <c r="Y196" s="536"/>
      <c r="Z196" s="536"/>
      <c r="AA196" s="536"/>
      <c r="AB196" s="536"/>
      <c r="AC196" s="536"/>
      <c r="AD196" s="536"/>
      <c r="AE196" s="536"/>
      <c r="AF196" s="536"/>
      <c r="AG196" s="536"/>
      <c r="AH196" s="536"/>
      <c r="AI196" s="536"/>
      <c r="AJ196" s="536"/>
      <c r="AK196" s="536"/>
      <c r="AL196" s="536"/>
      <c r="AM196" s="536"/>
      <c r="AN196" s="536"/>
      <c r="AO196" s="536"/>
      <c r="AP196" s="536"/>
      <c r="AQ196" s="536"/>
      <c r="AR196" s="536"/>
      <c r="AS196" s="536"/>
      <c r="AT196" s="536"/>
      <c r="AU196" s="536"/>
      <c r="AV196" s="536"/>
      <c r="AW196" s="536"/>
      <c r="AX196" s="536"/>
      <c r="AY196" s="536"/>
      <c r="AZ196" s="536"/>
      <c r="BA196" s="536"/>
      <c r="BB196" s="536"/>
      <c r="BC196" s="536"/>
      <c r="BD196" s="536"/>
      <c r="BE196" s="536"/>
      <c r="BF196" s="536"/>
      <c r="BG196" s="536"/>
      <c r="BH196" s="536"/>
      <c r="BI196" s="536"/>
      <c r="BJ196" s="536"/>
      <c r="BK196" s="536"/>
      <c r="BL196" s="536"/>
      <c r="BM196" s="536"/>
      <c r="BN196" s="536"/>
      <c r="BO196" s="536"/>
      <c r="BP196" s="536"/>
      <c r="BQ196" s="536"/>
      <c r="BR196" s="536"/>
      <c r="BS196" s="536"/>
      <c r="BT196" s="536"/>
    </row>
    <row r="197" spans="1:72" ht="37.5">
      <c r="A197" s="1155">
        <v>1</v>
      </c>
      <c r="B197" s="1156" t="s">
        <v>324</v>
      </c>
      <c r="C197" s="1155">
        <v>139</v>
      </c>
      <c r="D197" s="1155">
        <v>140</v>
      </c>
      <c r="E197" s="1155">
        <v>141</v>
      </c>
      <c r="F197" s="1155">
        <v>142</v>
      </c>
      <c r="G197" s="221"/>
      <c r="H197" s="327"/>
      <c r="I197" s="536"/>
      <c r="J197" s="536"/>
      <c r="K197" s="536"/>
      <c r="L197" s="536"/>
      <c r="M197" s="536"/>
      <c r="N197" s="536"/>
      <c r="O197" s="536"/>
      <c r="P197" s="536"/>
      <c r="Q197" s="536"/>
      <c r="R197" s="536"/>
      <c r="S197" s="536"/>
      <c r="T197" s="536"/>
      <c r="U197" s="536"/>
      <c r="V197" s="536"/>
      <c r="W197" s="536"/>
      <c r="X197" s="536"/>
      <c r="Y197" s="536"/>
      <c r="Z197" s="536"/>
      <c r="AA197" s="536"/>
      <c r="AB197" s="536"/>
      <c r="AC197" s="536"/>
      <c r="AD197" s="536"/>
      <c r="AE197" s="536"/>
      <c r="AF197" s="536"/>
      <c r="AG197" s="536"/>
      <c r="AH197" s="536"/>
      <c r="AI197" s="536"/>
      <c r="AJ197" s="536"/>
      <c r="AK197" s="536"/>
      <c r="AL197" s="536"/>
      <c r="AM197" s="536"/>
      <c r="AN197" s="536"/>
      <c r="AO197" s="536"/>
      <c r="AP197" s="536"/>
      <c r="AQ197" s="536"/>
      <c r="AR197" s="536"/>
      <c r="AS197" s="536"/>
      <c r="AT197" s="536"/>
      <c r="AU197" s="536"/>
      <c r="AV197" s="536"/>
      <c r="AW197" s="536"/>
      <c r="AX197" s="536"/>
      <c r="AY197" s="536"/>
      <c r="AZ197" s="536"/>
      <c r="BA197" s="536"/>
      <c r="BB197" s="536"/>
      <c r="BC197" s="536"/>
      <c r="BD197" s="536"/>
      <c r="BE197" s="536"/>
      <c r="BF197" s="536"/>
      <c r="BG197" s="536"/>
      <c r="BH197" s="536"/>
      <c r="BI197" s="536"/>
      <c r="BJ197" s="536"/>
      <c r="BK197" s="536"/>
      <c r="BL197" s="536"/>
      <c r="BM197" s="536"/>
      <c r="BN197" s="536"/>
      <c r="BO197" s="536"/>
      <c r="BP197" s="536"/>
      <c r="BQ197" s="536"/>
      <c r="BR197" s="536"/>
      <c r="BS197" s="536"/>
      <c r="BT197" s="536"/>
    </row>
    <row r="198" spans="1:72" ht="37.5">
      <c r="A198" s="1157">
        <v>2</v>
      </c>
      <c r="B198" s="1158" t="s">
        <v>815</v>
      </c>
      <c r="C198" s="1157"/>
      <c r="D198" s="1159">
        <f>D197/C197</f>
        <v>1.0071942446043165</v>
      </c>
      <c r="E198" s="1159">
        <f>E197/D197</f>
        <v>1.0071428571428571</v>
      </c>
      <c r="F198" s="1159">
        <f>F197/E197</f>
        <v>1.0070921985815602</v>
      </c>
      <c r="G198" s="221"/>
      <c r="H198" s="327"/>
      <c r="I198" s="536"/>
      <c r="J198" s="536"/>
      <c r="K198" s="536"/>
      <c r="L198" s="536"/>
      <c r="M198" s="536"/>
      <c r="N198" s="536"/>
      <c r="O198" s="536"/>
      <c r="P198" s="536"/>
      <c r="Q198" s="536"/>
      <c r="R198" s="536"/>
      <c r="S198" s="536"/>
      <c r="T198" s="536"/>
      <c r="U198" s="536"/>
      <c r="V198" s="536"/>
      <c r="W198" s="536"/>
      <c r="X198" s="536"/>
      <c r="Y198" s="536"/>
      <c r="Z198" s="536"/>
      <c r="AA198" s="536"/>
      <c r="AB198" s="536"/>
      <c r="AC198" s="536"/>
      <c r="AD198" s="536"/>
      <c r="AE198" s="536"/>
      <c r="AF198" s="536"/>
      <c r="AG198" s="536"/>
      <c r="AH198" s="536"/>
      <c r="AI198" s="536"/>
      <c r="AJ198" s="536"/>
      <c r="AK198" s="536"/>
      <c r="AL198" s="536"/>
      <c r="AM198" s="536"/>
      <c r="AN198" s="536"/>
      <c r="AO198" s="536"/>
      <c r="AP198" s="536"/>
      <c r="AQ198" s="536"/>
      <c r="AR198" s="536"/>
      <c r="AS198" s="536"/>
      <c r="AT198" s="536"/>
      <c r="AU198" s="536"/>
      <c r="AV198" s="536"/>
      <c r="AW198" s="536"/>
      <c r="AX198" s="536"/>
      <c r="AY198" s="536"/>
      <c r="AZ198" s="536"/>
      <c r="BA198" s="536"/>
      <c r="BB198" s="536"/>
      <c r="BC198" s="536"/>
      <c r="BD198" s="536"/>
      <c r="BE198" s="536"/>
      <c r="BF198" s="536"/>
      <c r="BG198" s="536"/>
      <c r="BH198" s="536"/>
      <c r="BI198" s="536"/>
      <c r="BJ198" s="536"/>
      <c r="BK198" s="536"/>
      <c r="BL198" s="536"/>
      <c r="BM198" s="536"/>
      <c r="BN198" s="536"/>
      <c r="BO198" s="536"/>
      <c r="BP198" s="536"/>
      <c r="BQ198" s="536"/>
      <c r="BR198" s="536"/>
      <c r="BS198" s="536"/>
      <c r="BT198" s="536"/>
    </row>
    <row r="199" spans="1:72" ht="39">
      <c r="A199" s="1160">
        <v>3</v>
      </c>
      <c r="B199" s="1161" t="s">
        <v>823</v>
      </c>
      <c r="C199" s="1162"/>
      <c r="D199" s="1162"/>
      <c r="E199" s="1162"/>
      <c r="F199" s="1163">
        <f>ROUND(AVERAGE(D198:F198),3)</f>
        <v>1.0069999999999999</v>
      </c>
      <c r="G199" s="221"/>
      <c r="H199" s="327"/>
      <c r="I199" s="536"/>
      <c r="J199" s="536"/>
      <c r="K199" s="536"/>
      <c r="L199" s="536"/>
      <c r="M199" s="536"/>
      <c r="N199" s="536"/>
      <c r="O199" s="536"/>
      <c r="P199" s="536"/>
      <c r="Q199" s="536"/>
      <c r="R199" s="536"/>
      <c r="S199" s="536"/>
      <c r="T199" s="536"/>
      <c r="U199" s="536"/>
      <c r="V199" s="536"/>
      <c r="W199" s="536"/>
      <c r="X199" s="536"/>
      <c r="Y199" s="536"/>
      <c r="Z199" s="536"/>
      <c r="AA199" s="536"/>
      <c r="AB199" s="536"/>
      <c r="AC199" s="536"/>
      <c r="AD199" s="536"/>
      <c r="AE199" s="536"/>
      <c r="AF199" s="536"/>
      <c r="AG199" s="536"/>
      <c r="AH199" s="536"/>
      <c r="AI199" s="536"/>
      <c r="AJ199" s="536"/>
      <c r="AK199" s="536"/>
      <c r="AL199" s="536"/>
      <c r="AM199" s="536"/>
      <c r="AN199" s="536"/>
      <c r="AO199" s="536"/>
      <c r="AP199" s="536"/>
      <c r="AQ199" s="536"/>
      <c r="AR199" s="536"/>
      <c r="AS199" s="536"/>
      <c r="AT199" s="536"/>
      <c r="AU199" s="536"/>
      <c r="AV199" s="536"/>
      <c r="AW199" s="536"/>
      <c r="AX199" s="536"/>
      <c r="AY199" s="536"/>
      <c r="AZ199" s="536"/>
      <c r="BA199" s="536"/>
      <c r="BB199" s="536"/>
      <c r="BC199" s="536"/>
      <c r="BD199" s="536"/>
      <c r="BE199" s="536"/>
      <c r="BF199" s="536"/>
      <c r="BG199" s="536"/>
      <c r="BH199" s="536"/>
      <c r="BI199" s="536"/>
      <c r="BJ199" s="536"/>
      <c r="BK199" s="536"/>
      <c r="BL199" s="536"/>
      <c r="BM199" s="536"/>
      <c r="BN199" s="536"/>
      <c r="BO199" s="536"/>
      <c r="BP199" s="536"/>
      <c r="BQ199" s="536"/>
      <c r="BR199" s="536"/>
      <c r="BS199" s="536"/>
      <c r="BT199" s="536"/>
    </row>
    <row r="200" spans="1:72" ht="18.75">
      <c r="A200" s="221"/>
      <c r="B200" s="221"/>
      <c r="C200" s="221"/>
      <c r="D200" s="221"/>
      <c r="E200" s="221"/>
      <c r="F200" s="221"/>
      <c r="G200" s="221"/>
      <c r="H200" s="327"/>
      <c r="I200" s="536"/>
      <c r="J200" s="536"/>
      <c r="K200" s="536"/>
      <c r="L200" s="536"/>
      <c r="M200" s="536"/>
      <c r="N200" s="536"/>
      <c r="O200" s="536"/>
      <c r="P200" s="536"/>
      <c r="Q200" s="536"/>
      <c r="R200" s="536"/>
      <c r="S200" s="536"/>
      <c r="T200" s="536"/>
      <c r="U200" s="536"/>
      <c r="V200" s="536"/>
      <c r="W200" s="536"/>
      <c r="X200" s="536"/>
      <c r="Y200" s="536"/>
      <c r="Z200" s="536"/>
      <c r="AA200" s="536"/>
      <c r="AB200" s="536"/>
      <c r="AC200" s="536"/>
      <c r="AD200" s="536"/>
      <c r="AE200" s="536"/>
      <c r="AF200" s="536"/>
      <c r="AG200" s="536"/>
      <c r="AH200" s="536"/>
      <c r="AI200" s="536"/>
      <c r="AJ200" s="536"/>
      <c r="AK200" s="536"/>
      <c r="AL200" s="536"/>
      <c r="AM200" s="536"/>
      <c r="AN200" s="536"/>
      <c r="AO200" s="536"/>
      <c r="AP200" s="536"/>
      <c r="AQ200" s="536"/>
      <c r="AR200" s="536"/>
      <c r="AS200" s="536"/>
      <c r="AT200" s="536"/>
      <c r="AU200" s="536"/>
      <c r="AV200" s="536"/>
      <c r="AW200" s="536"/>
      <c r="AX200" s="536"/>
      <c r="AY200" s="536"/>
      <c r="AZ200" s="536"/>
      <c r="BA200" s="536"/>
      <c r="BB200" s="536"/>
      <c r="BC200" s="536"/>
      <c r="BD200" s="536"/>
      <c r="BE200" s="536"/>
      <c r="BF200" s="536"/>
      <c r="BG200" s="536"/>
      <c r="BH200" s="536"/>
      <c r="BI200" s="536"/>
      <c r="BJ200" s="536"/>
      <c r="BK200" s="536"/>
      <c r="BL200" s="536"/>
      <c r="BM200" s="536"/>
      <c r="BN200" s="536"/>
      <c r="BO200" s="536"/>
      <c r="BP200" s="536"/>
      <c r="BQ200" s="536"/>
      <c r="BR200" s="536"/>
      <c r="BS200" s="536"/>
      <c r="BT200" s="536"/>
    </row>
    <row r="201" spans="1:72" ht="18.75">
      <c r="A201" s="8" t="s">
        <v>61</v>
      </c>
      <c r="B201" s="8"/>
      <c r="C201" s="8"/>
      <c r="D201" s="8"/>
      <c r="E201" s="8"/>
      <c r="F201" s="324"/>
      <c r="G201" s="324"/>
      <c r="H201" s="327"/>
      <c r="I201" s="536"/>
      <c r="J201" s="536"/>
      <c r="K201" s="536"/>
      <c r="L201" s="536"/>
      <c r="M201" s="536"/>
      <c r="N201" s="536"/>
      <c r="O201" s="536"/>
      <c r="P201" s="536"/>
      <c r="Q201" s="536"/>
      <c r="R201" s="536"/>
      <c r="S201" s="536"/>
      <c r="T201" s="536"/>
      <c r="U201" s="536"/>
      <c r="V201" s="536"/>
      <c r="W201" s="536"/>
      <c r="X201" s="536"/>
      <c r="Y201" s="536"/>
      <c r="Z201" s="536"/>
      <c r="AA201" s="536"/>
      <c r="AB201" s="536"/>
      <c r="AC201" s="536"/>
      <c r="AD201" s="536"/>
      <c r="AE201" s="536"/>
      <c r="AF201" s="536"/>
      <c r="AG201" s="536"/>
      <c r="AH201" s="536"/>
      <c r="AI201" s="536"/>
      <c r="AJ201" s="536"/>
      <c r="AK201" s="536"/>
      <c r="AL201" s="536"/>
      <c r="AM201" s="536"/>
      <c r="AN201" s="536"/>
      <c r="AO201" s="536"/>
      <c r="AP201" s="536"/>
      <c r="AQ201" s="536"/>
      <c r="AR201" s="536"/>
      <c r="AS201" s="536"/>
      <c r="AT201" s="536"/>
      <c r="AU201" s="536"/>
      <c r="AV201" s="536"/>
      <c r="AW201" s="536"/>
      <c r="AX201" s="536"/>
      <c r="AY201" s="536"/>
      <c r="AZ201" s="536"/>
      <c r="BA201" s="536"/>
      <c r="BB201" s="536"/>
      <c r="BC201" s="536"/>
      <c r="BD201" s="536"/>
      <c r="BE201" s="536"/>
      <c r="BF201" s="536"/>
      <c r="BG201" s="536"/>
      <c r="BH201" s="536"/>
      <c r="BI201" s="536"/>
      <c r="BJ201" s="536"/>
      <c r="BK201" s="536"/>
      <c r="BL201" s="536"/>
      <c r="BM201" s="536"/>
      <c r="BN201" s="536"/>
      <c r="BO201" s="536"/>
      <c r="BP201" s="536"/>
      <c r="BQ201" s="536"/>
      <c r="BR201" s="536"/>
      <c r="BS201" s="536"/>
      <c r="BT201" s="536"/>
    </row>
    <row r="202" spans="1:72" ht="18.75">
      <c r="A202" s="2510" t="s">
        <v>196</v>
      </c>
      <c r="B202" s="2512" t="s">
        <v>57</v>
      </c>
      <c r="C202" s="1146" t="s">
        <v>835</v>
      </c>
      <c r="D202" s="1146"/>
      <c r="E202" s="1146"/>
      <c r="F202" s="324"/>
      <c r="G202" s="324"/>
      <c r="H202" s="327"/>
      <c r="I202" s="536"/>
      <c r="J202" s="536"/>
      <c r="K202" s="536"/>
      <c r="L202" s="536"/>
      <c r="M202" s="536"/>
      <c r="N202" s="536"/>
      <c r="O202" s="536"/>
      <c r="P202" s="536"/>
      <c r="Q202" s="536"/>
      <c r="R202" s="536"/>
      <c r="S202" s="536"/>
      <c r="T202" s="536"/>
      <c r="U202" s="536"/>
      <c r="V202" s="536"/>
      <c r="W202" s="536"/>
      <c r="X202" s="536"/>
      <c r="Y202" s="536"/>
      <c r="Z202" s="536"/>
      <c r="AA202" s="536"/>
      <c r="AB202" s="536"/>
      <c r="AC202" s="536"/>
      <c r="AD202" s="536"/>
      <c r="AE202" s="536"/>
      <c r="AF202" s="536"/>
      <c r="AG202" s="536"/>
      <c r="AH202" s="536"/>
      <c r="AI202" s="536"/>
      <c r="AJ202" s="536"/>
      <c r="AK202" s="536"/>
      <c r="AL202" s="536"/>
      <c r="AM202" s="536"/>
      <c r="AN202" s="536"/>
      <c r="AO202" s="536"/>
      <c r="AP202" s="536"/>
      <c r="AQ202" s="536"/>
      <c r="AR202" s="536"/>
      <c r="AS202" s="536"/>
      <c r="AT202" s="536"/>
      <c r="AU202" s="536"/>
      <c r="AV202" s="536"/>
      <c r="AW202" s="536"/>
      <c r="AX202" s="536"/>
      <c r="AY202" s="536"/>
      <c r="AZ202" s="536"/>
      <c r="BA202" s="536"/>
      <c r="BB202" s="536"/>
      <c r="BC202" s="536"/>
      <c r="BD202" s="536"/>
      <c r="BE202" s="536"/>
      <c r="BF202" s="536"/>
      <c r="BG202" s="536"/>
      <c r="BH202" s="536"/>
      <c r="BI202" s="536"/>
      <c r="BJ202" s="536"/>
      <c r="BK202" s="536"/>
      <c r="BL202" s="536"/>
      <c r="BM202" s="536"/>
      <c r="BN202" s="536"/>
      <c r="BO202" s="536"/>
      <c r="BP202" s="536"/>
      <c r="BQ202" s="536"/>
      <c r="BR202" s="536"/>
      <c r="BS202" s="536"/>
      <c r="BT202" s="536"/>
    </row>
    <row r="203" spans="1:72" ht="18.75">
      <c r="A203" s="2511"/>
      <c r="B203" s="2513"/>
      <c r="C203" s="1154">
        <v>1</v>
      </c>
      <c r="D203" s="1154">
        <v>2</v>
      </c>
      <c r="E203" s="1154">
        <v>3</v>
      </c>
      <c r="F203" s="327"/>
      <c r="G203" s="324"/>
      <c r="I203" s="536"/>
      <c r="J203" s="536"/>
      <c r="K203" s="536"/>
      <c r="L203" s="536"/>
      <c r="M203" s="536"/>
      <c r="N203" s="536"/>
      <c r="O203" s="536"/>
      <c r="P203" s="536"/>
      <c r="Q203" s="536"/>
      <c r="R203" s="536"/>
      <c r="S203" s="536"/>
      <c r="T203" s="536"/>
      <c r="U203" s="536"/>
      <c r="V203" s="536"/>
      <c r="W203" s="536"/>
      <c r="X203" s="536"/>
      <c r="Y203" s="536"/>
      <c r="Z203" s="536"/>
      <c r="AA203" s="536"/>
      <c r="AB203" s="536"/>
      <c r="AC203" s="536"/>
      <c r="AD203" s="536"/>
      <c r="AE203" s="536"/>
      <c r="AF203" s="536"/>
      <c r="AG203" s="536"/>
      <c r="AH203" s="536"/>
      <c r="AI203" s="536"/>
      <c r="AJ203" s="536"/>
      <c r="AK203" s="536"/>
      <c r="AL203" s="536"/>
      <c r="AM203" s="536"/>
      <c r="AN203" s="536"/>
      <c r="AO203" s="536"/>
      <c r="AP203" s="536"/>
      <c r="AQ203" s="536"/>
      <c r="AR203" s="536"/>
      <c r="AS203" s="536"/>
      <c r="AT203" s="536"/>
      <c r="AU203" s="536"/>
      <c r="AV203" s="536"/>
      <c r="AW203" s="536"/>
      <c r="AX203" s="536"/>
      <c r="AY203" s="536"/>
      <c r="AZ203" s="536"/>
      <c r="BA203" s="536"/>
      <c r="BB203" s="536"/>
      <c r="BC203" s="536"/>
      <c r="BD203" s="536"/>
      <c r="BE203" s="536"/>
      <c r="BF203" s="536"/>
      <c r="BG203" s="536"/>
      <c r="BH203" s="536"/>
      <c r="BI203" s="536"/>
      <c r="BJ203" s="536"/>
      <c r="BK203" s="536"/>
      <c r="BL203" s="536"/>
      <c r="BM203" s="536"/>
      <c r="BN203" s="536"/>
      <c r="BO203" s="536"/>
      <c r="BP203" s="536"/>
      <c r="BQ203" s="536"/>
      <c r="BR203" s="536"/>
      <c r="BS203" s="536"/>
      <c r="BT203" s="536"/>
    </row>
    <row r="204" spans="1:72" ht="37.5">
      <c r="A204" s="1164">
        <v>1</v>
      </c>
      <c r="B204" s="1165" t="s">
        <v>62</v>
      </c>
      <c r="C204" s="1166">
        <f ca="1">C192</f>
        <v>0</v>
      </c>
      <c r="D204" s="1166">
        <f ca="1">D192</f>
        <v>0</v>
      </c>
      <c r="E204" s="1166">
        <f ca="1">E192</f>
        <v>0</v>
      </c>
      <c r="F204" s="324"/>
      <c r="G204" s="324"/>
      <c r="H204" s="327"/>
      <c r="I204" s="536"/>
      <c r="J204" s="536"/>
      <c r="K204" s="536"/>
      <c r="L204" s="536"/>
      <c r="M204" s="536"/>
      <c r="N204" s="536"/>
      <c r="O204" s="536"/>
      <c r="P204" s="536"/>
      <c r="Q204" s="536"/>
      <c r="R204" s="536"/>
      <c r="S204" s="536"/>
      <c r="T204" s="536"/>
      <c r="U204" s="536"/>
      <c r="V204" s="536"/>
      <c r="W204" s="536"/>
      <c r="X204" s="536"/>
      <c r="Y204" s="536"/>
      <c r="Z204" s="536"/>
      <c r="AA204" s="536"/>
      <c r="AB204" s="536"/>
      <c r="AC204" s="536"/>
      <c r="AD204" s="536"/>
      <c r="AE204" s="536"/>
      <c r="AF204" s="536"/>
      <c r="AG204" s="536"/>
      <c r="AH204" s="536"/>
      <c r="AI204" s="536"/>
      <c r="AJ204" s="536"/>
      <c r="AK204" s="536"/>
      <c r="AL204" s="536"/>
      <c r="AM204" s="536"/>
      <c r="AN204" s="536"/>
      <c r="AO204" s="536"/>
      <c r="AP204" s="536"/>
      <c r="AQ204" s="536"/>
      <c r="AR204" s="536"/>
      <c r="AS204" s="536"/>
      <c r="AT204" s="536"/>
      <c r="AU204" s="536"/>
      <c r="AV204" s="536"/>
      <c r="AW204" s="536"/>
      <c r="AX204" s="536"/>
      <c r="AY204" s="536"/>
      <c r="AZ204" s="536"/>
      <c r="BA204" s="536"/>
      <c r="BB204" s="536"/>
      <c r="BC204" s="536"/>
      <c r="BD204" s="536"/>
      <c r="BE204" s="536"/>
      <c r="BF204" s="536"/>
      <c r="BG204" s="536"/>
      <c r="BH204" s="536"/>
      <c r="BI204" s="536"/>
      <c r="BJ204" s="536"/>
      <c r="BK204" s="536"/>
      <c r="BL204" s="536"/>
      <c r="BM204" s="536"/>
      <c r="BN204" s="536"/>
      <c r="BO204" s="536"/>
      <c r="BP204" s="536"/>
      <c r="BQ204" s="536"/>
      <c r="BR204" s="536"/>
      <c r="BS204" s="536"/>
      <c r="BT204" s="536"/>
    </row>
    <row r="205" spans="1:72" ht="18.75">
      <c r="A205" s="1157">
        <v>3</v>
      </c>
      <c r="B205" s="1158" t="s">
        <v>63</v>
      </c>
      <c r="C205" s="1167">
        <f ca="1">C204*(F199+F186)^C203</f>
        <v>0</v>
      </c>
      <c r="D205" s="1167">
        <f ca="1">D204*(F199+F137)^D203</f>
        <v>0</v>
      </c>
      <c r="E205" s="1167">
        <f ca="1">E204*(F199+F137)^E203</f>
        <v>0</v>
      </c>
      <c r="F205" s="324"/>
      <c r="G205" s="324"/>
      <c r="H205" s="327"/>
      <c r="I205" s="536"/>
      <c r="J205" s="536"/>
      <c r="K205" s="536"/>
      <c r="L205" s="536"/>
      <c r="M205" s="536"/>
      <c r="N205" s="536"/>
      <c r="O205" s="536"/>
      <c r="P205" s="536"/>
      <c r="Q205" s="536"/>
      <c r="R205" s="536"/>
      <c r="S205" s="536"/>
      <c r="T205" s="536"/>
      <c r="U205" s="536"/>
      <c r="V205" s="536"/>
      <c r="W205" s="536"/>
      <c r="X205" s="536"/>
      <c r="Y205" s="536"/>
      <c r="Z205" s="536"/>
      <c r="AA205" s="536"/>
      <c r="AB205" s="536"/>
      <c r="AC205" s="536"/>
      <c r="AD205" s="536"/>
      <c r="AE205" s="536"/>
      <c r="AF205" s="536"/>
      <c r="AG205" s="536"/>
      <c r="AH205" s="536"/>
      <c r="AI205" s="536"/>
      <c r="AJ205" s="536"/>
      <c r="AK205" s="536"/>
      <c r="AL205" s="536"/>
      <c r="AM205" s="536"/>
      <c r="AN205" s="536"/>
      <c r="AO205" s="536"/>
      <c r="AP205" s="536"/>
      <c r="AQ205" s="536"/>
      <c r="AR205" s="536"/>
      <c r="AS205" s="536"/>
      <c r="AT205" s="536"/>
      <c r="AU205" s="536"/>
      <c r="AV205" s="536"/>
      <c r="AW205" s="536"/>
      <c r="AX205" s="536"/>
      <c r="AY205" s="536"/>
      <c r="AZ205" s="536"/>
      <c r="BA205" s="536"/>
      <c r="BB205" s="536"/>
      <c r="BC205" s="536"/>
      <c r="BD205" s="536"/>
      <c r="BE205" s="536"/>
      <c r="BF205" s="536"/>
      <c r="BG205" s="536"/>
      <c r="BH205" s="536"/>
      <c r="BI205" s="536"/>
      <c r="BJ205" s="536"/>
      <c r="BK205" s="536"/>
      <c r="BL205" s="536"/>
      <c r="BM205" s="536"/>
      <c r="BN205" s="536"/>
      <c r="BO205" s="536"/>
      <c r="BP205" s="536"/>
      <c r="BQ205" s="536"/>
      <c r="BR205" s="536"/>
      <c r="BS205" s="536"/>
      <c r="BT205" s="536"/>
    </row>
    <row r="206" spans="1:72" ht="18.75">
      <c r="A206" s="1157">
        <v>4</v>
      </c>
      <c r="B206" s="1158" t="s">
        <v>64</v>
      </c>
      <c r="C206" s="1167">
        <f ca="1">C204*((F199+F186)^C203-1)</f>
        <v>0</v>
      </c>
      <c r="D206" s="1167">
        <f ca="1">D204*((F199+F186)^D203-1)</f>
        <v>0</v>
      </c>
      <c r="E206" s="1167">
        <f ca="1">E204*((F199+F186)^E203-1)</f>
        <v>0</v>
      </c>
      <c r="F206" s="324"/>
      <c r="G206" s="324"/>
      <c r="H206" s="327"/>
      <c r="I206" s="536"/>
      <c r="J206" s="536"/>
      <c r="K206" s="536"/>
      <c r="L206" s="536"/>
      <c r="M206" s="536"/>
      <c r="N206" s="536"/>
      <c r="O206" s="536"/>
      <c r="P206" s="536"/>
      <c r="Q206" s="536"/>
      <c r="R206" s="536"/>
      <c r="S206" s="536"/>
      <c r="T206" s="536"/>
      <c r="U206" s="536"/>
      <c r="V206" s="536"/>
      <c r="W206" s="536"/>
      <c r="X206" s="536"/>
      <c r="Y206" s="536"/>
      <c r="Z206" s="536"/>
      <c r="AA206" s="536"/>
      <c r="AB206" s="536"/>
      <c r="AC206" s="536"/>
      <c r="AD206" s="536"/>
      <c r="AE206" s="536"/>
      <c r="AF206" s="536"/>
      <c r="AG206" s="536"/>
      <c r="AH206" s="536"/>
      <c r="AI206" s="536"/>
      <c r="AJ206" s="536"/>
      <c r="AK206" s="536"/>
      <c r="AL206" s="536"/>
      <c r="AM206" s="536"/>
      <c r="AN206" s="536"/>
      <c r="AO206" s="536"/>
      <c r="AP206" s="536"/>
      <c r="AQ206" s="536"/>
      <c r="AR206" s="536"/>
      <c r="AS206" s="536"/>
      <c r="AT206" s="536"/>
      <c r="AU206" s="536"/>
      <c r="AV206" s="536"/>
      <c r="AW206" s="536"/>
      <c r="AX206" s="536"/>
      <c r="AY206" s="536"/>
      <c r="AZ206" s="536"/>
      <c r="BA206" s="536"/>
      <c r="BB206" s="536"/>
      <c r="BC206" s="536"/>
      <c r="BD206" s="536"/>
      <c r="BE206" s="536"/>
      <c r="BF206" s="536"/>
      <c r="BG206" s="536"/>
      <c r="BH206" s="536"/>
      <c r="BI206" s="536"/>
      <c r="BJ206" s="536"/>
      <c r="BK206" s="536"/>
      <c r="BL206" s="536"/>
      <c r="BM206" s="536"/>
      <c r="BN206" s="536"/>
      <c r="BO206" s="536"/>
      <c r="BP206" s="536"/>
      <c r="BQ206" s="536"/>
      <c r="BR206" s="536"/>
      <c r="BS206" s="536"/>
      <c r="BT206" s="536"/>
    </row>
    <row r="207" spans="1:72" ht="20.25">
      <c r="A207" s="1160">
        <v>5</v>
      </c>
      <c r="B207" s="1161" t="s">
        <v>812</v>
      </c>
      <c r="C207" s="1168">
        <f ca="1">C206</f>
        <v>0</v>
      </c>
      <c r="D207" s="1168">
        <f ca="1">C207+D206</f>
        <v>0</v>
      </c>
      <c r="E207" s="1168">
        <f ca="1">D207+E206</f>
        <v>0</v>
      </c>
      <c r="F207" s="324"/>
      <c r="G207" s="324"/>
      <c r="H207" s="327"/>
      <c r="I207" s="536"/>
      <c r="J207" s="536"/>
      <c r="K207" s="536"/>
      <c r="L207" s="536"/>
      <c r="M207" s="536"/>
      <c r="N207" s="536"/>
      <c r="O207" s="536"/>
      <c r="P207" s="536"/>
      <c r="Q207" s="536"/>
      <c r="R207" s="536"/>
      <c r="S207" s="536"/>
      <c r="T207" s="536"/>
      <c r="U207" s="536"/>
      <c r="V207" s="536"/>
      <c r="W207" s="536"/>
      <c r="X207" s="536"/>
      <c r="Y207" s="536"/>
      <c r="Z207" s="536"/>
      <c r="AA207" s="536"/>
      <c r="AB207" s="536"/>
      <c r="AC207" s="536"/>
      <c r="AD207" s="536"/>
      <c r="AE207" s="536"/>
      <c r="AF207" s="536"/>
      <c r="AG207" s="536"/>
      <c r="AH207" s="536"/>
      <c r="AI207" s="536"/>
      <c r="AJ207" s="536"/>
      <c r="AK207" s="536"/>
      <c r="AL207" s="536"/>
      <c r="AM207" s="536"/>
      <c r="AN207" s="536"/>
      <c r="AO207" s="536"/>
      <c r="AP207" s="536"/>
      <c r="AQ207" s="536"/>
      <c r="AR207" s="536"/>
      <c r="AS207" s="536"/>
      <c r="AT207" s="536"/>
      <c r="AU207" s="536"/>
      <c r="AV207" s="536"/>
      <c r="AW207" s="536"/>
      <c r="AX207" s="536"/>
      <c r="AY207" s="536"/>
      <c r="AZ207" s="536"/>
      <c r="BA207" s="536"/>
      <c r="BB207" s="536"/>
      <c r="BC207" s="536"/>
      <c r="BD207" s="536"/>
      <c r="BE207" s="536"/>
      <c r="BF207" s="536"/>
      <c r="BG207" s="536"/>
      <c r="BH207" s="536"/>
      <c r="BI207" s="536"/>
      <c r="BJ207" s="536"/>
      <c r="BK207" s="536"/>
      <c r="BL207" s="536"/>
      <c r="BM207" s="536"/>
      <c r="BN207" s="536"/>
      <c r="BO207" s="536"/>
      <c r="BP207" s="536"/>
      <c r="BQ207" s="536"/>
      <c r="BR207" s="536"/>
      <c r="BS207" s="536"/>
      <c r="BT207" s="536"/>
    </row>
    <row r="208" spans="1:72" ht="18.75">
      <c r="A208" s="324"/>
      <c r="B208" s="324"/>
      <c r="C208" s="324"/>
      <c r="D208" s="324"/>
      <c r="E208" s="324"/>
      <c r="F208" s="324"/>
      <c r="G208" s="324"/>
      <c r="H208" s="324"/>
    </row>
    <row r="209" spans="1:8" ht="20.25">
      <c r="A209" s="324"/>
      <c r="B209" s="1169"/>
      <c r="C209" s="1143" t="s">
        <v>813</v>
      </c>
      <c r="D209" s="2514">
        <f ca="1">C173+E207</f>
        <v>0</v>
      </c>
      <c r="E209" s="2514"/>
      <c r="F209" s="324"/>
      <c r="G209" s="324"/>
      <c r="H209" s="324"/>
    </row>
    <row r="210" spans="1:8" ht="18.75">
      <c r="A210" s="324"/>
      <c r="B210" s="1169"/>
      <c r="C210" s="1143" t="s">
        <v>827</v>
      </c>
      <c r="D210" s="1181">
        <f ca="1">ROUND(IFERROR(D209/C169,0)-E173,2)</f>
        <v>-0.05</v>
      </c>
      <c r="E210" s="1175"/>
      <c r="F210" s="324"/>
      <c r="G210" s="324"/>
      <c r="H210" s="324"/>
    </row>
    <row r="211" spans="1:8" ht="18.75">
      <c r="A211" s="324"/>
      <c r="B211" s="1169"/>
      <c r="C211" s="1143" t="s">
        <v>373</v>
      </c>
      <c r="D211" s="1174">
        <f ca="1">ROUND(IF(C169=0,0,D209/C169),2)</f>
        <v>0</v>
      </c>
      <c r="E211" s="221"/>
      <c r="F211" s="324"/>
      <c r="G211" s="324"/>
      <c r="H211" s="324"/>
    </row>
    <row r="212" spans="1:8" ht="15.75">
      <c r="C212" s="234"/>
    </row>
  </sheetData>
  <mergeCells count="32">
    <mergeCell ref="A45:A46"/>
    <mergeCell ref="B45:B46"/>
    <mergeCell ref="D52:E52"/>
    <mergeCell ref="A28:E28"/>
    <mergeCell ref="A31:A32"/>
    <mergeCell ref="B31:B32"/>
    <mergeCell ref="A38:A39"/>
    <mergeCell ref="B38:B39"/>
    <mergeCell ref="A85:E85"/>
    <mergeCell ref="A137:E137"/>
    <mergeCell ref="A186:E186"/>
    <mergeCell ref="D209:E209"/>
    <mergeCell ref="A189:A190"/>
    <mergeCell ref="B189:B190"/>
    <mergeCell ref="A195:A196"/>
    <mergeCell ref="B195:B196"/>
    <mergeCell ref="A202:A203"/>
    <mergeCell ref="A88:A89"/>
    <mergeCell ref="B88:B89"/>
    <mergeCell ref="B202:B203"/>
    <mergeCell ref="D160:E160"/>
    <mergeCell ref="A140:A141"/>
    <mergeCell ref="B140:B141"/>
    <mergeCell ref="A94:A95"/>
    <mergeCell ref="A153:A154"/>
    <mergeCell ref="B153:B154"/>
    <mergeCell ref="D108:E108"/>
    <mergeCell ref="B94:B95"/>
    <mergeCell ref="A101:A102"/>
    <mergeCell ref="B101:B102"/>
    <mergeCell ref="A146:A147"/>
    <mergeCell ref="B146:B147"/>
  </mergeCells>
  <phoneticPr fontId="60" type="noConversion"/>
  <dataValidations xWindow="869" yWindow="423" count="9">
    <dataValidation allowBlank="1" showInputMessage="1" showErrorMessage="1" promptTitle="www.giaxaydung.vn" prompt="Mức độ trượt giá bq tính trên cơ sở bquân các chỉ số giá xây dựng công trình theo loại công trình của tối thiểu 3 năm gần nhất so với thời điểm tính toán (không tính đến những thời điểm có biến động bất thường về giá nguyên liệu, nhiên liệu và VLXD." sqref="A78:A82 A130:A134 A179:A183 A21:A25"/>
    <dataValidation allowBlank="1" showInputMessage="1" showErrorMessage="1" promptTitle="www.giaxaydung.vn" prompt="Mức dự báo biến động của các yếu tố chi phí, giá cả trong khu vực và quốc tế so với mức độ trượt giá bình quân năm đã tính. Tham số này phụ thuộc vào trình độ, số liệu, khả năng dự báo của chuyên gia tư vấn. Nếu không dự báo được thì có thể để bằng 0." sqref="A85 A137 A186 A28"/>
    <dataValidation allowBlank="1" showInputMessage="1" showErrorMessage="1" promptTitle="www.giaxaydung.vn" prompt="Nhập mức dự báo biến động vào đây. Nếu mức dự báo tăng nhập số dương, nếu giảm thì nhập số âm, nếu không dự báo được thì có thể để bằng 0." sqref="F85 F28"/>
    <dataValidation allowBlank="1" showInputMessage="1" showErrorMessage="1" promptTitle="http://giaxaydung.vn" prompt="Nếu không có kế hoạch (tiến độ) phân bổ vốn thì có thể chia bình quân cho các năm và đưa số liệu vào đây." sqref="C90 C142 C191 C33"/>
    <dataValidation allowBlank="1" showInputMessage="1" showErrorMessage="1" promptTitle="http://giaxaydung.vn" prompt="Bình quân đơn giản hệ số trượt giá của 4 năm" sqref="F98 F150 F199 F42"/>
    <dataValidation allowBlank="1" showInputMessage="1" showErrorMessage="1" prompt="Nếu không phân bổ theo tỷ lệ % ở dòng trên, có thể nhập giá trị trực tiếp vào đây" sqref="C91 C143:E143 C192:E192 C34"/>
    <dataValidation allowBlank="1" showInputMessage="1" showErrorMessage="1" prompt="Nhập số năm để tự động thêm cột" sqref="F141 G147 F190 G196"/>
    <dataValidation allowBlank="1" showInputMessage="1" showErrorMessage="1" prompt="Nhập số năm để tự động xóa hoặc thêm cột" sqref="F89 G95 F32 G39"/>
    <dataValidation allowBlank="1" showInputMessage="1" showErrorMessage="1" sqref="F186 C148:F148 C197:F197"/>
  </dataValidations>
  <hyperlinks>
    <hyperlink ref="A73" r:id="rId1" location="_6-xac-dinh-chi-phi-du-phong-gdp"/>
  </hyperlinks>
  <printOptions horizontalCentered="1"/>
  <pageMargins left="0.70866141732283505" right="0.31496062992126" top="0.74803149606299202" bottom="0.74803149606299202" header="0.31496062992126" footer="0.31496062992126"/>
  <pageSetup paperSize="9" orientation="landscape" blackAndWhite="1" horizontalDpi="300" verticalDpi="300" r:id="rId2"/>
  <headerFooter>
    <oddHeader>&amp;L&amp;"+,nghiêng"&amp;10Dự toán GXD - www.giaxaydung.vn</oddHeader>
    <oddFooter>&amp;C&amp;P</oddFooter>
  </headerFooter>
  <ignoredErrors>
    <ignoredError sqref="A62:A63 A118:A119 A166:A167" unlockedFormula="1"/>
  </ignoredErrors>
  <drawing r:id="rId3"/>
  <legacyDrawing r:id="rId4"/>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Gxd">
    <tabColor rgb="FFFFFF00"/>
  </sheetPr>
  <dimension ref="A1:H268"/>
  <sheetViews>
    <sheetView showZeros="0" view="pageBreakPreview" zoomScale="85" zoomScaleNormal="80" zoomScaleSheetLayoutView="85" workbookViewId="0">
      <selection activeCell="B11" sqref="B11"/>
    </sheetView>
  </sheetViews>
  <sheetFormatPr defaultColWidth="9" defaultRowHeight="15.75"/>
  <cols>
    <col min="1" max="1" width="5.5703125" style="17" customWidth="1"/>
    <col min="2" max="2" width="45.5703125" style="17" customWidth="1"/>
    <col min="3" max="3" width="19" style="17" customWidth="1"/>
    <col min="4" max="4" width="26.85546875" style="17" customWidth="1"/>
    <col min="5" max="5" width="14.42578125" style="17" customWidth="1"/>
    <col min="6" max="6" width="12.85546875" style="17" customWidth="1"/>
    <col min="7" max="7" width="7.42578125" style="17" customWidth="1"/>
    <col min="8" max="8" width="60.42578125" style="17" customWidth="1"/>
    <col min="9" max="9" width="9" style="17" customWidth="1"/>
    <col min="10" max="16384" width="9" style="17"/>
  </cols>
  <sheetData>
    <row r="1" spans="1:8" ht="30" customHeight="1">
      <c r="A1" s="1325" t="s">
        <v>91</v>
      </c>
      <c r="B1" s="2"/>
      <c r="C1" s="6"/>
      <c r="D1" s="6"/>
      <c r="E1" s="6"/>
    </row>
    <row r="2" spans="1:8"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6"/>
      <c r="C2" s="6"/>
      <c r="D2" s="6"/>
      <c r="E2" s="6"/>
      <c r="F2" s="179"/>
      <c r="G2" s="6"/>
    </row>
    <row r="3" spans="1:8" ht="22.15" customHeight="1">
      <c r="A3" s="1019" t="str">
        <f>"HẠNG MỤC: "&amp;'Du toan XD'!F9</f>
        <v>HẠNG MỤC: CÔNG TÁC ĐẤT</v>
      </c>
      <c r="B3" s="6"/>
      <c r="C3" s="6"/>
      <c r="D3" s="6"/>
      <c r="E3" s="6"/>
      <c r="F3" s="179"/>
      <c r="G3" s="6"/>
    </row>
    <row r="4" spans="1:8">
      <c r="E4" s="56" t="s">
        <v>310</v>
      </c>
      <c r="F4" s="56"/>
      <c r="G4" s="56"/>
    </row>
    <row r="5" spans="1:8" ht="18" customHeight="1">
      <c r="A5" s="1018" t="s">
        <v>196</v>
      </c>
      <c r="B5" s="1018" t="s">
        <v>42</v>
      </c>
      <c r="C5" s="1018" t="s">
        <v>44</v>
      </c>
      <c r="D5" s="1018" t="s">
        <v>93</v>
      </c>
      <c r="E5" s="1018" t="s">
        <v>94</v>
      </c>
      <c r="F5" s="1018" t="s">
        <v>178</v>
      </c>
      <c r="G5" s="1018" t="s">
        <v>192</v>
      </c>
    </row>
    <row r="6" spans="1:8" ht="18" customHeight="1">
      <c r="A6" s="58"/>
      <c r="B6" s="1087" t="s">
        <v>95</v>
      </c>
      <c r="C6" s="58"/>
      <c r="D6" s="59"/>
      <c r="E6" s="58"/>
      <c r="F6" s="58"/>
      <c r="G6" s="58"/>
    </row>
    <row r="7" spans="1:8" ht="16.899999999999999" customHeight="1">
      <c r="A7" s="50"/>
      <c r="B7" s="60" t="s">
        <v>96</v>
      </c>
      <c r="C7" s="50"/>
      <c r="D7" s="61">
        <f>'Du toan XD'!N64+'Du toan XD'!O64</f>
        <v>264435</v>
      </c>
      <c r="E7" s="50" t="s">
        <v>97</v>
      </c>
      <c r="F7" s="50"/>
      <c r="G7" s="50"/>
    </row>
    <row r="8" spans="1:8" ht="16.899999999999999" hidden="1" customHeight="1">
      <c r="A8" s="50"/>
      <c r="B8" s="60" t="s">
        <v>98</v>
      </c>
      <c r="C8" s="50"/>
      <c r="D8" s="61"/>
      <c r="E8" s="50" t="s">
        <v>264</v>
      </c>
      <c r="F8" s="50"/>
      <c r="G8" s="50"/>
    </row>
    <row r="9" spans="1:8" ht="16.899999999999999" customHeight="1">
      <c r="A9" s="50"/>
      <c r="B9" s="60" t="s">
        <v>99</v>
      </c>
      <c r="C9" s="50"/>
      <c r="D9" s="61">
        <f>'Du toan XD'!P64</f>
        <v>777334.56163199991</v>
      </c>
      <c r="E9" s="50" t="s">
        <v>195</v>
      </c>
      <c r="F9" s="50"/>
      <c r="G9" s="50"/>
    </row>
    <row r="10" spans="1:8" ht="16.899999999999999" hidden="1" customHeight="1">
      <c r="A10" s="50"/>
      <c r="B10" s="60" t="s">
        <v>255</v>
      </c>
      <c r="C10" s="50"/>
      <c r="D10" s="61"/>
      <c r="E10" s="50" t="s">
        <v>256</v>
      </c>
      <c r="F10" s="50"/>
      <c r="G10" s="50"/>
    </row>
    <row r="11" spans="1:8" ht="16.899999999999999" customHeight="1">
      <c r="A11" s="50"/>
      <c r="B11" s="60" t="s">
        <v>100</v>
      </c>
      <c r="C11" s="50"/>
      <c r="D11" s="61">
        <f>'Du toan XD'!Q64</f>
        <v>493325.23637440003</v>
      </c>
      <c r="E11" s="50" t="s">
        <v>101</v>
      </c>
      <c r="F11" s="50"/>
      <c r="G11" s="50"/>
    </row>
    <row r="12" spans="1:8" ht="16.899999999999999" hidden="1" customHeight="1">
      <c r="A12" s="50"/>
      <c r="B12" s="60" t="s">
        <v>102</v>
      </c>
      <c r="C12" s="50"/>
      <c r="D12" s="61"/>
      <c r="E12" s="50" t="s">
        <v>103</v>
      </c>
      <c r="F12" s="50"/>
      <c r="G12" s="50"/>
    </row>
    <row r="13" spans="1:8" ht="18" customHeight="1">
      <c r="A13" s="62" t="s">
        <v>73</v>
      </c>
      <c r="B13" s="1320" t="s">
        <v>104</v>
      </c>
      <c r="C13" s="50"/>
      <c r="D13" s="61"/>
      <c r="E13" s="50"/>
      <c r="F13" s="50"/>
      <c r="G13" s="50"/>
    </row>
    <row r="14" spans="1:8" s="64" customFormat="1" ht="16.899999999999999" customHeight="1">
      <c r="A14" s="156">
        <v>1</v>
      </c>
      <c r="B14" s="1318" t="s">
        <v>96</v>
      </c>
      <c r="C14" s="50" t="str">
        <f>IF(F14=0,"A+CLVL",IF(D8=0,"A*"&amp;F14,"(A + CLVL) * "&amp;F14))</f>
        <v>A*1</v>
      </c>
      <c r="D14" s="61">
        <f>IF(F14=0,D7+D8,(D7+D8)*F14)</f>
        <v>264435</v>
      </c>
      <c r="E14" s="50" t="s">
        <v>105</v>
      </c>
      <c r="F14" s="50">
        <f>ROUND(Ts!$N$37,3)</f>
        <v>1</v>
      </c>
      <c r="G14" s="50"/>
      <c r="H14" s="205"/>
    </row>
    <row r="15" spans="1:8" ht="16.899999999999999" customHeight="1">
      <c r="A15" s="156">
        <v>2</v>
      </c>
      <c r="B15" s="1318" t="s">
        <v>99</v>
      </c>
      <c r="C15" s="50" t="str">
        <f>IF(F15=0,"B+CLNC",IF($D$10&lt;&gt;0,IF(G15&lt;&gt;0,"B*"&amp;F15&amp;"*"&amp;G15&amp;"+CLNC","B*"&amp;F15&amp;"+CLNC"),IF(G15&lt;&gt;0,"B*"&amp;F15&amp;"*"&amp;G15,"B*"&amp;F15)))</f>
        <v>B*1</v>
      </c>
      <c r="D15" s="61">
        <f>PRODUCT(D9,F15:G15)+D10</f>
        <v>777334.56163199991</v>
      </c>
      <c r="E15" s="50" t="s">
        <v>106</v>
      </c>
      <c r="F15" s="50">
        <f>ROUND(Ts!$N$38,4)</f>
        <v>1</v>
      </c>
      <c r="G15" s="50"/>
      <c r="H15" s="204"/>
    </row>
    <row r="16" spans="1:8" ht="16.899999999999999" customHeight="1">
      <c r="A16" s="156">
        <v>3</v>
      </c>
      <c r="B16" s="1318" t="s">
        <v>107</v>
      </c>
      <c r="C16" s="50" t="str">
        <f>IF(F16=0,"C+CLM",IF($D$12&lt;&gt;0,IF(G16&lt;&gt;0,"C*"&amp;F16&amp;"*"&amp;G16&amp;"+CLM","C*"&amp;F16&amp;"+CLM"),IF(G16&lt;&gt;0,"C*"&amp;F16&amp;"*"&amp;G16,"C*"&amp;F16)))</f>
        <v>C*1</v>
      </c>
      <c r="D16" s="61">
        <f>PRODUCT(D11,F16:G16)+D12</f>
        <v>493325.23637440003</v>
      </c>
      <c r="E16" s="50" t="s">
        <v>108</v>
      </c>
      <c r="F16" s="50">
        <f>ROUND(Ts!$N$39,4)</f>
        <v>1</v>
      </c>
      <c r="G16" s="50"/>
      <c r="H16" s="204"/>
    </row>
    <row r="17" spans="1:8" ht="19.149999999999999" customHeight="1">
      <c r="A17" s="156"/>
      <c r="B17" s="1319" t="s">
        <v>109</v>
      </c>
      <c r="C17" s="50" t="s">
        <v>333</v>
      </c>
      <c r="D17" s="65">
        <f>SUM(D14:D16)</f>
        <v>1535094.7980064</v>
      </c>
      <c r="E17" s="50" t="s">
        <v>110</v>
      </c>
      <c r="F17" s="50"/>
      <c r="G17" s="50"/>
    </row>
    <row r="18" spans="1:8" ht="19.149999999999999" customHeight="1">
      <c r="A18" s="39" t="s">
        <v>75</v>
      </c>
      <c r="B18" s="1320" t="s">
        <v>706</v>
      </c>
      <c r="C18" s="50"/>
      <c r="D18" s="65"/>
      <c r="E18" s="50"/>
      <c r="F18" s="50"/>
      <c r="G18" s="50"/>
    </row>
    <row r="19" spans="1:8" ht="18" customHeight="1">
      <c r="A19" s="636">
        <v>1</v>
      </c>
      <c r="B19" s="1318" t="s">
        <v>378</v>
      </c>
      <c r="C19" s="50" t="str">
        <f ca="1">"T*"&amp;F19*100&amp;"%"</f>
        <v>T*6,2%</v>
      </c>
      <c r="D19" s="65">
        <f ca="1">D17*F19*G19</f>
        <v>95175.877476396796</v>
      </c>
      <c r="E19" s="50" t="s">
        <v>101</v>
      </c>
      <c r="F19" s="319">
        <f ca="1">Ts!$N$40</f>
        <v>6.2E-2</v>
      </c>
      <c r="G19" s="50">
        <v>1</v>
      </c>
      <c r="H19" s="1260"/>
    </row>
    <row r="20" spans="1:8" ht="18" customHeight="1">
      <c r="A20" s="636">
        <v>2</v>
      </c>
      <c r="B20" s="1318" t="s">
        <v>702</v>
      </c>
      <c r="C20" s="50" t="str">
        <f>IF(G20&lt;&gt;1,"T*"&amp;F20*100&amp;"%"&amp;"*"&amp;G20,"T*"&amp;F20*100&amp;"%")</f>
        <v>T*1,1%</v>
      </c>
      <c r="D20" s="65">
        <f>D17*F20*G20</f>
        <v>16886.042778070401</v>
      </c>
      <c r="E20" s="50" t="s">
        <v>704</v>
      </c>
      <c r="F20" s="319">
        <f>Ts!$N$44</f>
        <v>1.1000000000000001E-2</v>
      </c>
      <c r="G20" s="50">
        <v>1</v>
      </c>
      <c r="H20" s="1260"/>
    </row>
    <row r="21" spans="1:8" ht="31.5">
      <c r="A21" s="636">
        <v>3</v>
      </c>
      <c r="B21" s="1318" t="s">
        <v>703</v>
      </c>
      <c r="C21" s="50" t="str">
        <f ca="1">"T*"&amp;F21*100&amp;"%"</f>
        <v>T*2%</v>
      </c>
      <c r="D21" s="65">
        <f ca="1">D17*F21</f>
        <v>30701.895960128</v>
      </c>
      <c r="E21" s="50" t="s">
        <v>33</v>
      </c>
      <c r="F21" s="319">
        <f ca="1">Ts!$N$43</f>
        <v>0.02</v>
      </c>
      <c r="G21" s="50"/>
    </row>
    <row r="22" spans="1:8" ht="18" customHeight="1">
      <c r="A22" s="636"/>
      <c r="B22" s="1319" t="s">
        <v>701</v>
      </c>
      <c r="C22" s="50" t="s">
        <v>931</v>
      </c>
      <c r="D22" s="65">
        <f ca="1">SUM(D19:D21)</f>
        <v>142763.81621459519</v>
      </c>
      <c r="E22" s="50" t="s">
        <v>78</v>
      </c>
      <c r="F22" s="319"/>
      <c r="G22" s="50"/>
    </row>
    <row r="23" spans="1:8" s="64" customFormat="1" ht="18" customHeight="1">
      <c r="A23" s="62" t="s">
        <v>77</v>
      </c>
      <c r="B23" s="1320" t="s">
        <v>112</v>
      </c>
      <c r="C23" s="50" t="str">
        <f ca="1">"(T+GT)*"&amp;F23*100&amp;"%"</f>
        <v>(T+GT)*6%</v>
      </c>
      <c r="D23" s="65">
        <f ca="1">(D17+D22)*F23</f>
        <v>100671.51685325972</v>
      </c>
      <c r="E23" s="50" t="s">
        <v>79</v>
      </c>
      <c r="F23" s="319">
        <f ca="1">Ts!$N$41</f>
        <v>0.06</v>
      </c>
      <c r="G23" s="50"/>
    </row>
    <row r="24" spans="1:8" s="64" customFormat="1" ht="19.149999999999999" customHeight="1">
      <c r="A24" s="63"/>
      <c r="B24" s="1088" t="s">
        <v>113</v>
      </c>
      <c r="C24" s="50" t="s">
        <v>705</v>
      </c>
      <c r="D24" s="66">
        <f ca="1">D17+D22+D23</f>
        <v>1778530.1310742549</v>
      </c>
      <c r="E24" s="50" t="s">
        <v>114</v>
      </c>
      <c r="F24" s="50"/>
      <c r="G24" s="50"/>
    </row>
    <row r="25" spans="1:8">
      <c r="A25" s="62" t="s">
        <v>80</v>
      </c>
      <c r="B25" s="1089" t="s">
        <v>115</v>
      </c>
      <c r="C25" s="50" t="str">
        <f>"G*"&amp;F25*100&amp;"%"</f>
        <v>G*10%</v>
      </c>
      <c r="D25" s="65">
        <f ca="1">D24*F25</f>
        <v>177853.0131074255</v>
      </c>
      <c r="E25" s="50" t="s">
        <v>116</v>
      </c>
      <c r="F25" s="320">
        <f>Ts!$N$42</f>
        <v>0.1</v>
      </c>
      <c r="G25" s="50"/>
    </row>
    <row r="26" spans="1:8" s="64" customFormat="1" ht="18.75">
      <c r="A26" s="586"/>
      <c r="B26" s="1090" t="s">
        <v>117</v>
      </c>
      <c r="C26" s="200" t="s">
        <v>596</v>
      </c>
      <c r="D26" s="598">
        <f ca="1">D24+D25</f>
        <v>1956383.1441816804</v>
      </c>
      <c r="E26" s="200" t="s">
        <v>177</v>
      </c>
      <c r="F26" s="200"/>
      <c r="G26" s="200"/>
    </row>
    <row r="27" spans="1:8" s="64" customFormat="1" ht="18.75">
      <c r="A27" s="537"/>
      <c r="B27" s="1091" t="s">
        <v>168</v>
      </c>
      <c r="C27" s="50" t="str">
        <f ca="1">"GXD*"&amp;F27*100&amp;"%"</f>
        <v>GXD*6%</v>
      </c>
      <c r="D27" s="538">
        <f ca="1">D26*F27</f>
        <v>117382.98865090082</v>
      </c>
      <c r="E27" s="539" t="s">
        <v>334</v>
      </c>
      <c r="F27" s="540">
        <f ca="1">IF(CF_TDGDD&lt;&gt;0,0,'CP Du phong'!$D$110)</f>
        <v>0.06</v>
      </c>
      <c r="G27" s="541"/>
    </row>
    <row r="28" spans="1:8" s="67" customFormat="1" ht="18.75">
      <c r="A28" s="569"/>
      <c r="B28" s="1092" t="s">
        <v>595</v>
      </c>
      <c r="C28" s="570" t="s">
        <v>594</v>
      </c>
      <c r="D28" s="571">
        <f ca="1">D26+D27</f>
        <v>2073766.1328325812</v>
      </c>
      <c r="E28" s="572" t="s">
        <v>336</v>
      </c>
      <c r="F28" s="570"/>
      <c r="G28" s="570"/>
    </row>
    <row r="29" spans="1:8" s="64" customFormat="1">
      <c r="B29" s="68"/>
      <c r="C29" s="68"/>
      <c r="D29" s="68"/>
      <c r="E29" s="68"/>
      <c r="F29" s="68"/>
      <c r="G29" s="68"/>
    </row>
    <row r="30" spans="1:8" s="64" customFormat="1" ht="22.5">
      <c r="A30" s="1325" t="s">
        <v>91</v>
      </c>
      <c r="B30" s="2"/>
      <c r="C30" s="6"/>
      <c r="D30" s="6"/>
      <c r="E30" s="6"/>
      <c r="F30" s="17"/>
      <c r="G30" s="17"/>
    </row>
    <row r="31" spans="1:8" s="64" customFormat="1" ht="18.75">
      <c r="A31" s="1019" t="str">
        <f>Ts!H4&amp;Ts!K4</f>
        <v>CÔNG TRÌNH: NHÀ 01 TẦNG, TƯỜNG CHỊU LỰC 110MM, MÁI LỢP FIBRÔXIMĂNG, KHÔNG CÓ KHU VỆ SINH KHÉP KÍN</v>
      </c>
      <c r="B31" s="6"/>
      <c r="C31" s="6"/>
      <c r="D31" s="6"/>
      <c r="E31" s="6"/>
      <c r="F31" s="179"/>
      <c r="G31" s="6"/>
    </row>
    <row r="32" spans="1:8" s="64" customFormat="1" ht="18.75">
      <c r="A32" s="1019" t="str">
        <f>"HẠNG MỤC: "&amp;'Du toan XD'!F65</f>
        <v>HẠNG MỤC: PHẦN MÓNG</v>
      </c>
      <c r="B32" s="6"/>
      <c r="C32" s="6"/>
      <c r="D32" s="6"/>
      <c r="E32" s="6"/>
      <c r="F32" s="179"/>
      <c r="G32" s="6"/>
    </row>
    <row r="33" spans="1:7" s="64" customFormat="1">
      <c r="A33" s="17"/>
      <c r="B33" s="17"/>
      <c r="C33" s="17"/>
      <c r="D33" s="17"/>
      <c r="E33" s="56" t="s">
        <v>310</v>
      </c>
      <c r="F33" s="56"/>
      <c r="G33" s="56"/>
    </row>
    <row r="34" spans="1:7" s="64" customFormat="1">
      <c r="A34" s="1018" t="s">
        <v>196</v>
      </c>
      <c r="B34" s="1018" t="s">
        <v>42</v>
      </c>
      <c r="C34" s="1018" t="s">
        <v>44</v>
      </c>
      <c r="D34" s="1018" t="s">
        <v>93</v>
      </c>
      <c r="E34" s="1018" t="s">
        <v>94</v>
      </c>
      <c r="F34" s="1018" t="s">
        <v>178</v>
      </c>
      <c r="G34" s="1018" t="s">
        <v>192</v>
      </c>
    </row>
    <row r="35" spans="1:7" s="64" customFormat="1">
      <c r="A35" s="58"/>
      <c r="B35" s="1087" t="s">
        <v>95</v>
      </c>
      <c r="C35" s="58"/>
      <c r="D35" s="59"/>
      <c r="E35" s="58"/>
      <c r="F35" s="58"/>
      <c r="G35" s="58"/>
    </row>
    <row r="36" spans="1:7" s="64" customFormat="1">
      <c r="A36" s="50"/>
      <c r="B36" s="60" t="s">
        <v>96</v>
      </c>
      <c r="C36" s="50"/>
      <c r="D36" s="61">
        <f>'Du toan XD'!N103+'Du toan XD'!O103</f>
        <v>39342177.002999999</v>
      </c>
      <c r="E36" s="50" t="s">
        <v>97</v>
      </c>
      <c r="F36" s="50"/>
      <c r="G36" s="50"/>
    </row>
    <row r="37" spans="1:7" s="64" customFormat="1" hidden="1">
      <c r="A37" s="50"/>
      <c r="B37" s="60" t="s">
        <v>98</v>
      </c>
      <c r="C37" s="50"/>
      <c r="D37" s="61"/>
      <c r="E37" s="50" t="s">
        <v>264</v>
      </c>
      <c r="F37" s="50"/>
      <c r="G37" s="50"/>
    </row>
    <row r="38" spans="1:7" s="64" customFormat="1">
      <c r="A38" s="50"/>
      <c r="B38" s="60" t="s">
        <v>99</v>
      </c>
      <c r="C38" s="50"/>
      <c r="D38" s="61">
        <f>'Du toan XD'!P103</f>
        <v>17356521.0546</v>
      </c>
      <c r="E38" s="50" t="s">
        <v>195</v>
      </c>
      <c r="F38" s="50"/>
      <c r="G38" s="50"/>
    </row>
    <row r="39" spans="1:7" s="64" customFormat="1" hidden="1">
      <c r="A39" s="50"/>
      <c r="B39" s="60" t="s">
        <v>255</v>
      </c>
      <c r="C39" s="50"/>
      <c r="D39" s="61"/>
      <c r="E39" s="50" t="s">
        <v>256</v>
      </c>
      <c r="F39" s="50"/>
      <c r="G39" s="50"/>
    </row>
    <row r="40" spans="1:7" s="64" customFormat="1">
      <c r="A40" s="50"/>
      <c r="B40" s="60" t="s">
        <v>100</v>
      </c>
      <c r="C40" s="50"/>
      <c r="D40" s="61">
        <f>'Du toan XD'!Q103</f>
        <v>259187.17910000001</v>
      </c>
      <c r="E40" s="50" t="s">
        <v>101</v>
      </c>
      <c r="F40" s="50"/>
      <c r="G40" s="50"/>
    </row>
    <row r="41" spans="1:7" s="64" customFormat="1" hidden="1">
      <c r="A41" s="50"/>
      <c r="B41" s="60" t="s">
        <v>102</v>
      </c>
      <c r="C41" s="50"/>
      <c r="D41" s="61"/>
      <c r="E41" s="50" t="s">
        <v>103</v>
      </c>
      <c r="F41" s="50"/>
      <c r="G41" s="50"/>
    </row>
    <row r="42" spans="1:7" s="64" customFormat="1">
      <c r="A42" s="62" t="s">
        <v>73</v>
      </c>
      <c r="B42" s="1320" t="s">
        <v>104</v>
      </c>
      <c r="C42" s="50"/>
      <c r="D42" s="61"/>
      <c r="E42" s="50"/>
      <c r="F42" s="50"/>
      <c r="G42" s="50"/>
    </row>
    <row r="43" spans="1:7" s="64" customFormat="1">
      <c r="A43" s="156">
        <v>1</v>
      </c>
      <c r="B43" s="1318" t="s">
        <v>96</v>
      </c>
      <c r="C43" s="50" t="str">
        <f>IF(F43=0,"A+CLVL",IF(D37=0,"A*"&amp;F43,"(A + CLVL) * "&amp;F43))</f>
        <v>A*1</v>
      </c>
      <c r="D43" s="61">
        <f>IF(F43=0,D36+D37,(D36+D37)*F43)</f>
        <v>39342177.002999999</v>
      </c>
      <c r="E43" s="50" t="s">
        <v>105</v>
      </c>
      <c r="F43" s="50">
        <f>ROUND(Ts!$N$37,3)</f>
        <v>1</v>
      </c>
      <c r="G43" s="50"/>
    </row>
    <row r="44" spans="1:7" s="64" customFormat="1">
      <c r="A44" s="156">
        <v>2</v>
      </c>
      <c r="B44" s="1318" t="s">
        <v>99</v>
      </c>
      <c r="C44" s="50" t="str">
        <f>IF(F44=0,"B+CLNC",IF($D$10&lt;&gt;0,IF(G44&lt;&gt;0,"B*"&amp;F44&amp;"*"&amp;G44&amp;"+CLNC","B*"&amp;F44&amp;"+CLNC"),IF(G44&lt;&gt;0,"B*"&amp;F44&amp;"*"&amp;G44,"B*"&amp;F44)))</f>
        <v>B*1</v>
      </c>
      <c r="D44" s="61">
        <f>PRODUCT(D38,F44:G44)+D39</f>
        <v>17356521.0546</v>
      </c>
      <c r="E44" s="50" t="s">
        <v>106</v>
      </c>
      <c r="F44" s="50">
        <f>ROUND(Ts!$N$38,4)</f>
        <v>1</v>
      </c>
      <c r="G44" s="50"/>
    </row>
    <row r="45" spans="1:7" s="64" customFormat="1">
      <c r="A45" s="156">
        <v>3</v>
      </c>
      <c r="B45" s="1318" t="s">
        <v>107</v>
      </c>
      <c r="C45" s="50" t="str">
        <f>IF(F45=0,"C+CLM",IF($D$12&lt;&gt;0,IF(G45&lt;&gt;0,"C*"&amp;F45&amp;"*"&amp;G45&amp;"+CLM","C*"&amp;F45&amp;"+CLM"),IF(G45&lt;&gt;0,"C*"&amp;F45&amp;"*"&amp;G45,"C*"&amp;F45)))</f>
        <v>C*1</v>
      </c>
      <c r="D45" s="61">
        <f>PRODUCT(D40,F45:G45)+D41</f>
        <v>259187.17910000001</v>
      </c>
      <c r="E45" s="50" t="s">
        <v>108</v>
      </c>
      <c r="F45" s="50">
        <f>ROUND(Ts!$N$39,4)</f>
        <v>1</v>
      </c>
      <c r="G45" s="50"/>
    </row>
    <row r="46" spans="1:7" s="64" customFormat="1">
      <c r="A46" s="156"/>
      <c r="B46" s="1319" t="s">
        <v>109</v>
      </c>
      <c r="C46" s="50" t="s">
        <v>333</v>
      </c>
      <c r="D46" s="65">
        <f>D43+D44+D45</f>
        <v>56957885.236699998</v>
      </c>
      <c r="E46" s="50" t="s">
        <v>110</v>
      </c>
      <c r="F46" s="50"/>
      <c r="G46" s="50"/>
    </row>
    <row r="47" spans="1:7" s="64" customFormat="1">
      <c r="A47" s="39" t="s">
        <v>75</v>
      </c>
      <c r="B47" s="1320" t="s">
        <v>706</v>
      </c>
      <c r="C47" s="50"/>
      <c r="D47" s="65"/>
      <c r="E47" s="50"/>
      <c r="F47" s="50"/>
      <c r="G47" s="50"/>
    </row>
    <row r="48" spans="1:7" s="64" customFormat="1">
      <c r="A48" s="636">
        <v>1</v>
      </c>
      <c r="B48" s="1318" t="s">
        <v>378</v>
      </c>
      <c r="C48" s="50" t="str">
        <f ca="1">"T*"&amp;F48*100&amp;"%"</f>
        <v>T*6,2%</v>
      </c>
      <c r="D48" s="65">
        <f ca="1">D46*F48*G48</f>
        <v>3531388.8846753999</v>
      </c>
      <c r="E48" s="50" t="s">
        <v>101</v>
      </c>
      <c r="F48" s="319">
        <f ca="1">Ts!$N$40</f>
        <v>6.2E-2</v>
      </c>
      <c r="G48" s="50">
        <v>1</v>
      </c>
    </row>
    <row r="49" spans="1:7" s="64" customFormat="1">
      <c r="A49" s="636">
        <v>2</v>
      </c>
      <c r="B49" s="1318" t="s">
        <v>702</v>
      </c>
      <c r="C49" s="50" t="str">
        <f>IF(G49&lt;&gt;1,"T*"&amp;F49*100&amp;"%"&amp;"*"&amp;G49,"T*"&amp;F49*100&amp;"%")</f>
        <v>T*1,1%</v>
      </c>
      <c r="D49" s="65">
        <f>IF(G49&lt;&gt;1,D46*F49*G49,D46*F49)</f>
        <v>626536.73760370002</v>
      </c>
      <c r="E49" s="50" t="s">
        <v>704</v>
      </c>
      <c r="F49" s="319">
        <f>Ts!$N$44</f>
        <v>1.1000000000000001E-2</v>
      </c>
      <c r="G49" s="50">
        <v>1</v>
      </c>
    </row>
    <row r="50" spans="1:7" s="64" customFormat="1" ht="31.5">
      <c r="A50" s="636">
        <v>3</v>
      </c>
      <c r="B50" s="1318" t="s">
        <v>703</v>
      </c>
      <c r="C50" s="50" t="str">
        <f ca="1">"T*"&amp;F50*100&amp;"%"</f>
        <v>T*2%</v>
      </c>
      <c r="D50" s="65">
        <f ca="1">D46*F50</f>
        <v>1139157.7047339999</v>
      </c>
      <c r="E50" s="50" t="s">
        <v>33</v>
      </c>
      <c r="F50" s="319">
        <f ca="1">Ts!$N$43</f>
        <v>0.02</v>
      </c>
      <c r="G50" s="50"/>
    </row>
    <row r="51" spans="1:7" s="64" customFormat="1">
      <c r="A51" s="636"/>
      <c r="B51" s="1319" t="s">
        <v>701</v>
      </c>
      <c r="C51" s="50" t="s">
        <v>931</v>
      </c>
      <c r="D51" s="65">
        <f ca="1">D48+D49+D50</f>
        <v>5297083.3270130996</v>
      </c>
      <c r="E51" s="50" t="s">
        <v>78</v>
      </c>
      <c r="F51" s="319"/>
      <c r="G51" s="50"/>
    </row>
    <row r="52" spans="1:7" s="64" customFormat="1">
      <c r="A52" s="62" t="s">
        <v>77</v>
      </c>
      <c r="B52" s="1320" t="s">
        <v>112</v>
      </c>
      <c r="C52" s="50" t="str">
        <f ca="1">"(T+GT)*"&amp;F52*100&amp;"%"</f>
        <v>(T+GT)*6%</v>
      </c>
      <c r="D52" s="65">
        <f ca="1">(D46+D51)*F52</f>
        <v>3735298.1138227857</v>
      </c>
      <c r="E52" s="50" t="s">
        <v>79</v>
      </c>
      <c r="F52" s="319">
        <f ca="1">Ts!$N$41</f>
        <v>0.06</v>
      </c>
      <c r="G52" s="50"/>
    </row>
    <row r="53" spans="1:7" s="64" customFormat="1">
      <c r="A53" s="63"/>
      <c r="B53" s="1088" t="s">
        <v>113</v>
      </c>
      <c r="C53" s="50" t="s">
        <v>705</v>
      </c>
      <c r="D53" s="66">
        <f ca="1">D46+D51+D52</f>
        <v>65990266.677535884</v>
      </c>
      <c r="E53" s="50" t="s">
        <v>114</v>
      </c>
      <c r="F53" s="50"/>
      <c r="G53" s="50"/>
    </row>
    <row r="54" spans="1:7" s="64" customFormat="1">
      <c r="A54" s="62" t="s">
        <v>80</v>
      </c>
      <c r="B54" s="1089" t="s">
        <v>115</v>
      </c>
      <c r="C54" s="50" t="str">
        <f>"G*"&amp;F54*100&amp;"%"</f>
        <v>G*10%</v>
      </c>
      <c r="D54" s="65">
        <f ca="1">D53*F54</f>
        <v>6599026.6677535884</v>
      </c>
      <c r="E54" s="50" t="s">
        <v>116</v>
      </c>
      <c r="F54" s="320">
        <f>Ts!$N$42</f>
        <v>0.1</v>
      </c>
      <c r="G54" s="50"/>
    </row>
    <row r="55" spans="1:7" s="64" customFormat="1" ht="18.75">
      <c r="A55" s="586"/>
      <c r="B55" s="1090" t="s">
        <v>117</v>
      </c>
      <c r="C55" s="200" t="s">
        <v>596</v>
      </c>
      <c r="D55" s="598">
        <f ca="1">D53+D54</f>
        <v>72589293.345289469</v>
      </c>
      <c r="E55" s="200" t="s">
        <v>177</v>
      </c>
      <c r="F55" s="200"/>
      <c r="G55" s="200"/>
    </row>
    <row r="56" spans="1:7" s="64" customFormat="1" ht="18.75">
      <c r="A56" s="537"/>
      <c r="B56" s="1091" t="s">
        <v>168</v>
      </c>
      <c r="C56" s="50" t="str">
        <f ca="1">"GXD*"&amp;F56*100&amp;"%"</f>
        <v>GXD*6%</v>
      </c>
      <c r="D56" s="538">
        <f ca="1">D55*F56</f>
        <v>4355357.6007173676</v>
      </c>
      <c r="E56" s="539" t="s">
        <v>334</v>
      </c>
      <c r="F56" s="540">
        <f ca="1">IF(CF_TDGDD&lt;&gt;0,0,'CP Du phong'!$D$110)</f>
        <v>0.06</v>
      </c>
      <c r="G56" s="541"/>
    </row>
    <row r="57" spans="1:7" s="64" customFormat="1" ht="18.75">
      <c r="A57" s="569"/>
      <c r="B57" s="1092" t="s">
        <v>595</v>
      </c>
      <c r="C57" s="570" t="s">
        <v>1636</v>
      </c>
      <c r="D57" s="571">
        <f ca="1">D55+D56</f>
        <v>76944650.946006835</v>
      </c>
      <c r="E57" s="572" t="s">
        <v>336</v>
      </c>
      <c r="F57" s="570"/>
      <c r="G57" s="570"/>
    </row>
    <row r="58" spans="1:7" s="64" customFormat="1">
      <c r="B58" s="68"/>
      <c r="C58" s="68"/>
      <c r="D58" s="68"/>
      <c r="E58" s="68"/>
      <c r="F58" s="68"/>
      <c r="G58" s="68"/>
    </row>
    <row r="59" spans="1:7" s="64" customFormat="1" ht="22.5">
      <c r="A59" s="1325" t="s">
        <v>91</v>
      </c>
      <c r="B59" s="2"/>
      <c r="C59" s="6"/>
      <c r="D59" s="6"/>
      <c r="E59" s="6"/>
      <c r="F59" s="17"/>
      <c r="G59" s="17"/>
    </row>
    <row r="60" spans="1:7" s="64" customFormat="1" ht="18.75">
      <c r="A60" s="1019" t="str">
        <f>Ts!H4&amp;Ts!K4</f>
        <v>CÔNG TRÌNH: NHÀ 01 TẦNG, TƯỜNG CHỊU LỰC 110MM, MÁI LỢP FIBRÔXIMĂNG, KHÔNG CÓ KHU VỆ SINH KHÉP KÍN</v>
      </c>
      <c r="B60" s="6"/>
      <c r="C60" s="6"/>
      <c r="D60" s="6"/>
      <c r="E60" s="6"/>
      <c r="F60" s="179"/>
      <c r="G60" s="6"/>
    </row>
    <row r="61" spans="1:7" s="64" customFormat="1" ht="18.75">
      <c r="A61" s="1019" t="str">
        <f>"HẠNG MỤC: "&amp;'Du toan XD'!F104</f>
        <v>HẠNG MỤC: PHẦN THÂN</v>
      </c>
      <c r="B61" s="6"/>
      <c r="C61" s="6"/>
      <c r="D61" s="6"/>
      <c r="E61" s="6"/>
      <c r="F61" s="179"/>
      <c r="G61" s="6"/>
    </row>
    <row r="62" spans="1:7" s="64" customFormat="1">
      <c r="A62" s="17"/>
      <c r="B62" s="17"/>
      <c r="C62" s="17"/>
      <c r="D62" s="17"/>
      <c r="E62" s="56" t="s">
        <v>310</v>
      </c>
      <c r="F62" s="56"/>
      <c r="G62" s="56"/>
    </row>
    <row r="63" spans="1:7" s="64" customFormat="1">
      <c r="A63" s="1018" t="s">
        <v>196</v>
      </c>
      <c r="B63" s="1018" t="s">
        <v>42</v>
      </c>
      <c r="C63" s="1018" t="s">
        <v>44</v>
      </c>
      <c r="D63" s="1018" t="s">
        <v>93</v>
      </c>
      <c r="E63" s="1018" t="s">
        <v>94</v>
      </c>
      <c r="F63" s="1018" t="s">
        <v>178</v>
      </c>
      <c r="G63" s="1018" t="s">
        <v>192</v>
      </c>
    </row>
    <row r="64" spans="1:7" s="64" customFormat="1">
      <c r="A64" s="58"/>
      <c r="B64" s="1087" t="s">
        <v>95</v>
      </c>
      <c r="C64" s="58"/>
      <c r="D64" s="59"/>
      <c r="E64" s="58"/>
      <c r="F64" s="58"/>
      <c r="G64" s="58"/>
    </row>
    <row r="65" spans="1:7" s="64" customFormat="1">
      <c r="A65" s="50"/>
      <c r="B65" s="60" t="s">
        <v>96</v>
      </c>
      <c r="C65" s="50"/>
      <c r="D65" s="61">
        <f>'Du toan XD'!N171+'Du toan XD'!O171</f>
        <v>34350412.236099996</v>
      </c>
      <c r="E65" s="50" t="s">
        <v>97</v>
      </c>
      <c r="F65" s="50"/>
      <c r="G65" s="50"/>
    </row>
    <row r="66" spans="1:7" s="64" customFormat="1" hidden="1">
      <c r="A66" s="50"/>
      <c r="B66" s="60" t="s">
        <v>98</v>
      </c>
      <c r="C66" s="50"/>
      <c r="D66" s="61"/>
      <c r="E66" s="50" t="s">
        <v>264</v>
      </c>
      <c r="F66" s="50"/>
      <c r="G66" s="50"/>
    </row>
    <row r="67" spans="1:7" s="64" customFormat="1">
      <c r="A67" s="50"/>
      <c r="B67" s="60" t="s">
        <v>99</v>
      </c>
      <c r="C67" s="50"/>
      <c r="D67" s="61">
        <f>'Du toan XD'!P171</f>
        <v>9105749.9340999983</v>
      </c>
      <c r="E67" s="50" t="s">
        <v>195</v>
      </c>
      <c r="F67" s="50"/>
      <c r="G67" s="50"/>
    </row>
    <row r="68" spans="1:7" s="64" customFormat="1" hidden="1">
      <c r="A68" s="50"/>
      <c r="B68" s="60" t="s">
        <v>255</v>
      </c>
      <c r="C68" s="50"/>
      <c r="D68" s="61"/>
      <c r="E68" s="50" t="s">
        <v>256</v>
      </c>
      <c r="F68" s="50"/>
      <c r="G68" s="50"/>
    </row>
    <row r="69" spans="1:7" s="64" customFormat="1">
      <c r="A69" s="50"/>
      <c r="B69" s="60" t="s">
        <v>100</v>
      </c>
      <c r="C69" s="50"/>
      <c r="D69" s="61">
        <f>'Du toan XD'!Q171</f>
        <v>212534.13709999999</v>
      </c>
      <c r="E69" s="50" t="s">
        <v>101</v>
      </c>
      <c r="F69" s="50"/>
      <c r="G69" s="50"/>
    </row>
    <row r="70" spans="1:7" s="64" customFormat="1" hidden="1">
      <c r="A70" s="50"/>
      <c r="B70" s="60" t="s">
        <v>102</v>
      </c>
      <c r="C70" s="50"/>
      <c r="D70" s="61"/>
      <c r="E70" s="50" t="s">
        <v>103</v>
      </c>
      <c r="F70" s="50"/>
      <c r="G70" s="50"/>
    </row>
    <row r="71" spans="1:7" s="64" customFormat="1">
      <c r="A71" s="62" t="s">
        <v>73</v>
      </c>
      <c r="B71" s="1320" t="s">
        <v>104</v>
      </c>
      <c r="C71" s="50"/>
      <c r="D71" s="61"/>
      <c r="E71" s="50"/>
      <c r="F71" s="50"/>
      <c r="G71" s="50"/>
    </row>
    <row r="72" spans="1:7" s="64" customFormat="1">
      <c r="A72" s="156">
        <v>1</v>
      </c>
      <c r="B72" s="1318" t="s">
        <v>96</v>
      </c>
      <c r="C72" s="50" t="str">
        <f>IF(F72=0,"A+CLVL",IF(D66=0,"A*"&amp;F72,"(A + CLVL) * "&amp;F72))</f>
        <v>A*1</v>
      </c>
      <c r="D72" s="61">
        <f>IF(F72=0,D65+D66,(D65+D66)*F72)</f>
        <v>34350412.236099996</v>
      </c>
      <c r="E72" s="50" t="s">
        <v>105</v>
      </c>
      <c r="F72" s="50">
        <f>ROUND(Ts!$N$37,3)</f>
        <v>1</v>
      </c>
      <c r="G72" s="50"/>
    </row>
    <row r="73" spans="1:7" s="64" customFormat="1">
      <c r="A73" s="156">
        <v>2</v>
      </c>
      <c r="B73" s="1318" t="s">
        <v>99</v>
      </c>
      <c r="C73" s="50" t="str">
        <f>IF(F73=0,"B+CLNC",IF($D$10&lt;&gt;0,IF(G73&lt;&gt;0,"B*"&amp;F73&amp;"*"&amp;G73&amp;"+CLNC","B*"&amp;F73&amp;"+CLNC"),IF(G73&lt;&gt;0,"B*"&amp;F73&amp;"*"&amp;G73,"B*"&amp;F73)))</f>
        <v>B*1</v>
      </c>
      <c r="D73" s="61">
        <f>PRODUCT(D67,F73:G73)+D68</f>
        <v>9105749.9340999983</v>
      </c>
      <c r="E73" s="50" t="s">
        <v>106</v>
      </c>
      <c r="F73" s="50">
        <f>ROUND(Ts!$N$38,4)</f>
        <v>1</v>
      </c>
      <c r="G73" s="50"/>
    </row>
    <row r="74" spans="1:7" s="64" customFormat="1">
      <c r="A74" s="156">
        <v>3</v>
      </c>
      <c r="B74" s="1318" t="s">
        <v>107</v>
      </c>
      <c r="C74" s="50" t="str">
        <f>IF(F74=0,"C+CLM",IF($D$12&lt;&gt;0,IF(G74&lt;&gt;0,"C*"&amp;F74&amp;"*"&amp;G74&amp;"+CLM","C*"&amp;F74&amp;"+CLM"),IF(G74&lt;&gt;0,"C*"&amp;F74&amp;"*"&amp;G74,"C*"&amp;F74)))</f>
        <v>C*1</v>
      </c>
      <c r="D74" s="61">
        <f>PRODUCT(D69,F74:G74)+D70</f>
        <v>212534.13709999999</v>
      </c>
      <c r="E74" s="50" t="s">
        <v>108</v>
      </c>
      <c r="F74" s="50">
        <f>ROUND(Ts!$N$39,4)</f>
        <v>1</v>
      </c>
      <c r="G74" s="50"/>
    </row>
    <row r="75" spans="1:7" s="64" customFormat="1">
      <c r="A75" s="156"/>
      <c r="B75" s="1319" t="s">
        <v>109</v>
      </c>
      <c r="C75" s="50" t="s">
        <v>333</v>
      </c>
      <c r="D75" s="65">
        <f>D72+D73+D74</f>
        <v>43668696.307299994</v>
      </c>
      <c r="E75" s="50" t="s">
        <v>110</v>
      </c>
      <c r="F75" s="50"/>
      <c r="G75" s="50"/>
    </row>
    <row r="76" spans="1:7" s="64" customFormat="1">
      <c r="A76" s="39" t="s">
        <v>75</v>
      </c>
      <c r="B76" s="1320" t="s">
        <v>706</v>
      </c>
      <c r="C76" s="50"/>
      <c r="D76" s="65"/>
      <c r="E76" s="50"/>
      <c r="F76" s="50"/>
      <c r="G76" s="50"/>
    </row>
    <row r="77" spans="1:7" s="64" customFormat="1">
      <c r="A77" s="636">
        <v>1</v>
      </c>
      <c r="B77" s="1318" t="s">
        <v>378</v>
      </c>
      <c r="C77" s="50" t="str">
        <f ca="1">"T*"&amp;F77*100&amp;"%"</f>
        <v>T*6,2%</v>
      </c>
      <c r="D77" s="65">
        <f ca="1">D75*F77*G77</f>
        <v>2707459.1710525998</v>
      </c>
      <c r="E77" s="50" t="s">
        <v>101</v>
      </c>
      <c r="F77" s="319">
        <f ca="1">Ts!$N$40</f>
        <v>6.2E-2</v>
      </c>
      <c r="G77" s="50">
        <v>1</v>
      </c>
    </row>
    <row r="78" spans="1:7" s="64" customFormat="1">
      <c r="A78" s="636">
        <v>2</v>
      </c>
      <c r="B78" s="1318" t="s">
        <v>702</v>
      </c>
      <c r="C78" s="50" t="str">
        <f>IF(G78&lt;&gt;1,"T*"&amp;F78*100&amp;"%"&amp;"*"&amp;G78,"T*"&amp;F78*100&amp;"%")</f>
        <v>T*1,1%</v>
      </c>
      <c r="D78" s="65">
        <f>IF(G78&lt;&gt;1,D75*F78*G78,D75*F78)</f>
        <v>480355.65938029997</v>
      </c>
      <c r="E78" s="50" t="s">
        <v>704</v>
      </c>
      <c r="F78" s="319">
        <f>Ts!$N$44</f>
        <v>1.1000000000000001E-2</v>
      </c>
      <c r="G78" s="50">
        <v>1</v>
      </c>
    </row>
    <row r="79" spans="1:7" s="64" customFormat="1" ht="31.5">
      <c r="A79" s="636">
        <v>3</v>
      </c>
      <c r="B79" s="1318" t="s">
        <v>703</v>
      </c>
      <c r="C79" s="50" t="str">
        <f ca="1">"T*"&amp;F79*100&amp;"%"</f>
        <v>T*2%</v>
      </c>
      <c r="D79" s="65">
        <f ca="1">D75*F79</f>
        <v>873373.92614599993</v>
      </c>
      <c r="E79" s="50" t="s">
        <v>33</v>
      </c>
      <c r="F79" s="319">
        <f ca="1">Ts!$N$43</f>
        <v>0.02</v>
      </c>
      <c r="G79" s="50"/>
    </row>
    <row r="80" spans="1:7" s="64" customFormat="1">
      <c r="A80" s="636"/>
      <c r="B80" s="1319" t="s">
        <v>701</v>
      </c>
      <c r="C80" s="50" t="s">
        <v>931</v>
      </c>
      <c r="D80" s="65">
        <f ca="1">D77+D78+D79</f>
        <v>4061188.7565788999</v>
      </c>
      <c r="E80" s="50" t="s">
        <v>78</v>
      </c>
      <c r="F80" s="319"/>
      <c r="G80" s="50"/>
    </row>
    <row r="81" spans="1:7" s="64" customFormat="1">
      <c r="A81" s="62" t="s">
        <v>77</v>
      </c>
      <c r="B81" s="1320" t="s">
        <v>112</v>
      </c>
      <c r="C81" s="50" t="str">
        <f ca="1">"(T+GT)*"&amp;F81*100&amp;"%"</f>
        <v>(T+GT)*6%</v>
      </c>
      <c r="D81" s="65">
        <f ca="1">(D75+D80)*F81</f>
        <v>2863793.1038327334</v>
      </c>
      <c r="E81" s="50" t="s">
        <v>79</v>
      </c>
      <c r="F81" s="319">
        <f ca="1">Ts!$N$41</f>
        <v>0.06</v>
      </c>
      <c r="G81" s="50"/>
    </row>
    <row r="82" spans="1:7" s="64" customFormat="1">
      <c r="A82" s="63"/>
      <c r="B82" s="1088" t="s">
        <v>113</v>
      </c>
      <c r="C82" s="50" t="s">
        <v>705</v>
      </c>
      <c r="D82" s="66">
        <f ca="1">D75+D80+D81</f>
        <v>50593678.16771163</v>
      </c>
      <c r="E82" s="50" t="s">
        <v>114</v>
      </c>
      <c r="F82" s="50"/>
      <c r="G82" s="50"/>
    </row>
    <row r="83" spans="1:7" s="64" customFormat="1">
      <c r="A83" s="62" t="s">
        <v>80</v>
      </c>
      <c r="B83" s="1089" t="s">
        <v>115</v>
      </c>
      <c r="C83" s="50" t="str">
        <f>"G*"&amp;F83*100&amp;"%"</f>
        <v>G*10%</v>
      </c>
      <c r="D83" s="65">
        <f ca="1">D82*F83</f>
        <v>5059367.8167711636</v>
      </c>
      <c r="E83" s="50" t="s">
        <v>116</v>
      </c>
      <c r="F83" s="320">
        <f>Ts!$N$42</f>
        <v>0.1</v>
      </c>
      <c r="G83" s="50"/>
    </row>
    <row r="84" spans="1:7" s="64" customFormat="1" ht="18.75">
      <c r="A84" s="586"/>
      <c r="B84" s="1090" t="s">
        <v>117</v>
      </c>
      <c r="C84" s="200" t="s">
        <v>596</v>
      </c>
      <c r="D84" s="598">
        <f ca="1">D82+D83</f>
        <v>55653045.984482795</v>
      </c>
      <c r="E84" s="200" t="s">
        <v>177</v>
      </c>
      <c r="F84" s="200"/>
      <c r="G84" s="200"/>
    </row>
    <row r="85" spans="1:7" s="64" customFormat="1" ht="18.75">
      <c r="A85" s="537"/>
      <c r="B85" s="1091" t="s">
        <v>168</v>
      </c>
      <c r="C85" s="50" t="str">
        <f ca="1">"GXD*"&amp;F85*100&amp;"%"</f>
        <v>GXD*6%</v>
      </c>
      <c r="D85" s="538">
        <f ca="1">D84*F85</f>
        <v>3339182.7590689678</v>
      </c>
      <c r="E85" s="539" t="s">
        <v>334</v>
      </c>
      <c r="F85" s="540">
        <f ca="1">IF(CF_TDGDD&lt;&gt;0,0,'CP Du phong'!$D$110)</f>
        <v>0.06</v>
      </c>
      <c r="G85" s="541"/>
    </row>
    <row r="86" spans="1:7" s="64" customFormat="1" ht="18.75">
      <c r="A86" s="569"/>
      <c r="B86" s="1092" t="s">
        <v>595</v>
      </c>
      <c r="C86" s="570" t="s">
        <v>1636</v>
      </c>
      <c r="D86" s="571">
        <f ca="1">D84+D85</f>
        <v>58992228.743551761</v>
      </c>
      <c r="E86" s="572" t="s">
        <v>336</v>
      </c>
      <c r="F86" s="570"/>
      <c r="G86" s="570"/>
    </row>
    <row r="87" spans="1:7" s="64" customFormat="1">
      <c r="B87" s="68"/>
      <c r="C87" s="68"/>
      <c r="D87" s="68"/>
      <c r="E87" s="68"/>
      <c r="F87" s="68"/>
      <c r="G87" s="68"/>
    </row>
    <row r="88" spans="1:7" s="64" customFormat="1" ht="22.5">
      <c r="A88" s="1325" t="s">
        <v>91</v>
      </c>
      <c r="B88" s="2"/>
      <c r="C88" s="6"/>
      <c r="D88" s="6"/>
      <c r="E88" s="6"/>
      <c r="F88" s="17"/>
      <c r="G88" s="17"/>
    </row>
    <row r="89" spans="1:7" s="64" customFormat="1" ht="18.75">
      <c r="A89" s="1019" t="str">
        <f>Ts!H4&amp;Ts!K4</f>
        <v>CÔNG TRÌNH: NHÀ 01 TẦNG, TƯỜNG CHỊU LỰC 110MM, MÁI LỢP FIBRÔXIMĂNG, KHÔNG CÓ KHU VỆ SINH KHÉP KÍN</v>
      </c>
      <c r="B89" s="6"/>
      <c r="C89" s="6"/>
      <c r="D89" s="6"/>
      <c r="E89" s="6"/>
      <c r="F89" s="179"/>
      <c r="G89" s="6"/>
    </row>
    <row r="90" spans="1:7" s="64" customFormat="1" ht="18.75">
      <c r="A90" s="1019" t="str">
        <f>"HẠNG MỤC: "&amp;'Du toan XD'!F172</f>
        <v>HẠNG MỤC: CÔNG TÁC XÂY</v>
      </c>
      <c r="B90" s="6"/>
      <c r="C90" s="6"/>
      <c r="D90" s="6"/>
      <c r="E90" s="6"/>
      <c r="F90" s="179"/>
      <c r="G90" s="6"/>
    </row>
    <row r="91" spans="1:7" s="64" customFormat="1">
      <c r="A91" s="17"/>
      <c r="B91" s="17"/>
      <c r="C91" s="17"/>
      <c r="D91" s="17"/>
      <c r="E91" s="56" t="s">
        <v>310</v>
      </c>
      <c r="F91" s="56"/>
      <c r="G91" s="56"/>
    </row>
    <row r="92" spans="1:7" s="64" customFormat="1">
      <c r="A92" s="1018" t="s">
        <v>196</v>
      </c>
      <c r="B92" s="1018" t="s">
        <v>42</v>
      </c>
      <c r="C92" s="1018" t="s">
        <v>44</v>
      </c>
      <c r="D92" s="1018" t="s">
        <v>93</v>
      </c>
      <c r="E92" s="1018" t="s">
        <v>94</v>
      </c>
      <c r="F92" s="1018" t="s">
        <v>178</v>
      </c>
      <c r="G92" s="1018" t="s">
        <v>192</v>
      </c>
    </row>
    <row r="93" spans="1:7" s="64" customFormat="1">
      <c r="A93" s="58"/>
      <c r="B93" s="1087" t="s">
        <v>95</v>
      </c>
      <c r="C93" s="58"/>
      <c r="D93" s="59"/>
      <c r="E93" s="58"/>
      <c r="F93" s="58"/>
      <c r="G93" s="58"/>
    </row>
    <row r="94" spans="1:7" s="64" customFormat="1">
      <c r="A94" s="50"/>
      <c r="B94" s="60" t="s">
        <v>96</v>
      </c>
      <c r="C94" s="50"/>
      <c r="D94" s="61">
        <f>'Du toan XD'!N206+'Du toan XD'!O206</f>
        <v>36884280.764600001</v>
      </c>
      <c r="E94" s="50" t="s">
        <v>97</v>
      </c>
      <c r="F94" s="50"/>
      <c r="G94" s="50"/>
    </row>
    <row r="95" spans="1:7" s="64" customFormat="1" hidden="1">
      <c r="A95" s="50"/>
      <c r="B95" s="60" t="s">
        <v>98</v>
      </c>
      <c r="C95" s="50"/>
      <c r="D95" s="61"/>
      <c r="E95" s="50" t="s">
        <v>264</v>
      </c>
      <c r="F95" s="50"/>
      <c r="G95" s="50"/>
    </row>
    <row r="96" spans="1:7" s="64" customFormat="1">
      <c r="A96" s="50"/>
      <c r="B96" s="60" t="s">
        <v>99</v>
      </c>
      <c r="C96" s="50"/>
      <c r="D96" s="61">
        <f>'Du toan XD'!P206</f>
        <v>26093942.751000002</v>
      </c>
      <c r="E96" s="50" t="s">
        <v>195</v>
      </c>
      <c r="F96" s="50"/>
      <c r="G96" s="50"/>
    </row>
    <row r="97" spans="1:7" s="64" customFormat="1" hidden="1">
      <c r="A97" s="50"/>
      <c r="B97" s="60" t="s">
        <v>255</v>
      </c>
      <c r="C97" s="50"/>
      <c r="D97" s="61"/>
      <c r="E97" s="50" t="s">
        <v>256</v>
      </c>
      <c r="F97" s="50"/>
      <c r="G97" s="50"/>
    </row>
    <row r="98" spans="1:7" s="64" customFormat="1">
      <c r="A98" s="50"/>
      <c r="B98" s="60" t="s">
        <v>100</v>
      </c>
      <c r="C98" s="50"/>
      <c r="D98" s="61">
        <f>'Du toan XD'!Q206</f>
        <v>75216.952799999999</v>
      </c>
      <c r="E98" s="50" t="s">
        <v>101</v>
      </c>
      <c r="F98" s="50"/>
      <c r="G98" s="50"/>
    </row>
    <row r="99" spans="1:7" s="64" customFormat="1" hidden="1">
      <c r="A99" s="50"/>
      <c r="B99" s="60" t="s">
        <v>102</v>
      </c>
      <c r="C99" s="50"/>
      <c r="D99" s="61"/>
      <c r="E99" s="50" t="s">
        <v>103</v>
      </c>
      <c r="F99" s="50"/>
      <c r="G99" s="50"/>
    </row>
    <row r="100" spans="1:7" s="64" customFormat="1">
      <c r="A100" s="62" t="s">
        <v>73</v>
      </c>
      <c r="B100" s="1320" t="s">
        <v>104</v>
      </c>
      <c r="C100" s="50"/>
      <c r="D100" s="61"/>
      <c r="E100" s="50"/>
      <c r="F100" s="50"/>
      <c r="G100" s="50"/>
    </row>
    <row r="101" spans="1:7" s="64" customFormat="1">
      <c r="A101" s="156">
        <v>1</v>
      </c>
      <c r="B101" s="1318" t="s">
        <v>96</v>
      </c>
      <c r="C101" s="50" t="str">
        <f>IF(F101=0,"A+CLVL",IF(D95=0,"A*"&amp;F101,"(A + CLVL) * "&amp;F101))</f>
        <v>A*1</v>
      </c>
      <c r="D101" s="61">
        <f>IF(F101=0,D94+D95,(D94+D95)*F101)</f>
        <v>36884280.764600001</v>
      </c>
      <c r="E101" s="50" t="s">
        <v>105</v>
      </c>
      <c r="F101" s="50">
        <f>ROUND(Ts!$N$37,3)</f>
        <v>1</v>
      </c>
      <c r="G101" s="50"/>
    </row>
    <row r="102" spans="1:7" s="64" customFormat="1">
      <c r="A102" s="156">
        <v>2</v>
      </c>
      <c r="B102" s="1318" t="s">
        <v>99</v>
      </c>
      <c r="C102" s="50" t="str">
        <f>IF(F102=0,"B+CLNC",IF($D$10&lt;&gt;0,IF(G102&lt;&gt;0,"B*"&amp;F102&amp;"*"&amp;G102&amp;"+CLNC","B*"&amp;F102&amp;"+CLNC"),IF(G102&lt;&gt;0,"B*"&amp;F102&amp;"*"&amp;G102,"B*"&amp;F102)))</f>
        <v>B*1</v>
      </c>
      <c r="D102" s="61">
        <f>PRODUCT(D96,F102:G102)+D97</f>
        <v>26093942.751000002</v>
      </c>
      <c r="E102" s="50" t="s">
        <v>106</v>
      </c>
      <c r="F102" s="50">
        <f>ROUND(Ts!$N$38,4)</f>
        <v>1</v>
      </c>
      <c r="G102" s="50"/>
    </row>
    <row r="103" spans="1:7" s="64" customFormat="1">
      <c r="A103" s="156">
        <v>3</v>
      </c>
      <c r="B103" s="1318" t="s">
        <v>107</v>
      </c>
      <c r="C103" s="50" t="str">
        <f>IF(F103=0,"C+CLM",IF($D$12&lt;&gt;0,IF(G103&lt;&gt;0,"C*"&amp;F103&amp;"*"&amp;G103&amp;"+CLM","C*"&amp;F103&amp;"+CLM"),IF(G103&lt;&gt;0,"C*"&amp;F103&amp;"*"&amp;G103,"C*"&amp;F103)))</f>
        <v>C*1</v>
      </c>
      <c r="D103" s="61">
        <f>PRODUCT(D98,F103:G103)+D99</f>
        <v>75216.952799999999</v>
      </c>
      <c r="E103" s="50" t="s">
        <v>108</v>
      </c>
      <c r="F103" s="50">
        <f>ROUND(Ts!$N$39,4)</f>
        <v>1</v>
      </c>
      <c r="G103" s="50"/>
    </row>
    <row r="104" spans="1:7" s="64" customFormat="1">
      <c r="A104" s="156"/>
      <c r="B104" s="1319" t="s">
        <v>109</v>
      </c>
      <c r="C104" s="50" t="s">
        <v>333</v>
      </c>
      <c r="D104" s="65">
        <f>D101+D102+D103</f>
        <v>63053440.468400002</v>
      </c>
      <c r="E104" s="50" t="s">
        <v>110</v>
      </c>
      <c r="F104" s="50"/>
      <c r="G104" s="50"/>
    </row>
    <row r="105" spans="1:7" s="64" customFormat="1">
      <c r="A105" s="39" t="s">
        <v>75</v>
      </c>
      <c r="B105" s="1320" t="s">
        <v>706</v>
      </c>
      <c r="C105" s="50"/>
      <c r="D105" s="65"/>
      <c r="E105" s="50"/>
      <c r="F105" s="50"/>
      <c r="G105" s="50"/>
    </row>
    <row r="106" spans="1:7" s="64" customFormat="1">
      <c r="A106" s="636">
        <v>1</v>
      </c>
      <c r="B106" s="1318" t="s">
        <v>378</v>
      </c>
      <c r="C106" s="50" t="str">
        <f ca="1">"T*"&amp;F106*100&amp;"%"</f>
        <v>T*6,2%</v>
      </c>
      <c r="D106" s="65">
        <f ca="1">D104*F106*G106</f>
        <v>3909313.3090408002</v>
      </c>
      <c r="E106" s="50" t="s">
        <v>101</v>
      </c>
      <c r="F106" s="319">
        <f ca="1">Ts!$N$40</f>
        <v>6.2E-2</v>
      </c>
      <c r="G106" s="50">
        <v>1</v>
      </c>
    </row>
    <row r="107" spans="1:7" s="64" customFormat="1">
      <c r="A107" s="636">
        <v>2</v>
      </c>
      <c r="B107" s="1318" t="s">
        <v>702</v>
      </c>
      <c r="C107" s="50" t="str">
        <f>IF(G107&lt;&gt;1,"T*"&amp;F107*100&amp;"%"&amp;"*"&amp;G107,"T*"&amp;F107*100&amp;"%")</f>
        <v>T*1,1%</v>
      </c>
      <c r="D107" s="65">
        <f>IF(G107&lt;&gt;1,D104*F107*G107,D104*F107)</f>
        <v>693587.84515240008</v>
      </c>
      <c r="E107" s="50" t="s">
        <v>704</v>
      </c>
      <c r="F107" s="319">
        <f>Ts!$N$44</f>
        <v>1.1000000000000001E-2</v>
      </c>
      <c r="G107" s="50">
        <v>1</v>
      </c>
    </row>
    <row r="108" spans="1:7" s="64" customFormat="1" ht="31.5">
      <c r="A108" s="636">
        <v>3</v>
      </c>
      <c r="B108" s="1318" t="s">
        <v>703</v>
      </c>
      <c r="C108" s="50" t="str">
        <f ca="1">"T*"&amp;F108*100&amp;"%"</f>
        <v>T*2%</v>
      </c>
      <c r="D108" s="65">
        <f ca="1">D104*F108</f>
        <v>1261068.8093680001</v>
      </c>
      <c r="E108" s="50" t="s">
        <v>33</v>
      </c>
      <c r="F108" s="319">
        <f ca="1">Ts!$N$43</f>
        <v>0.02</v>
      </c>
      <c r="G108" s="50"/>
    </row>
    <row r="109" spans="1:7" s="64" customFormat="1">
      <c r="A109" s="636"/>
      <c r="B109" s="1319" t="s">
        <v>701</v>
      </c>
      <c r="C109" s="50" t="s">
        <v>931</v>
      </c>
      <c r="D109" s="65">
        <f ca="1">D106+D107+D108</f>
        <v>5863969.9635612005</v>
      </c>
      <c r="E109" s="50" t="s">
        <v>78</v>
      </c>
      <c r="F109" s="319"/>
      <c r="G109" s="50"/>
    </row>
    <row r="110" spans="1:7" s="64" customFormat="1">
      <c r="A110" s="62" t="s">
        <v>77</v>
      </c>
      <c r="B110" s="1320" t="s">
        <v>112</v>
      </c>
      <c r="C110" s="50" t="str">
        <f ca="1">"(T+GT)*"&amp;F110*100&amp;"%"</f>
        <v>(T+GT)*6%</v>
      </c>
      <c r="D110" s="65">
        <f ca="1">(D104+D109)*F110</f>
        <v>4135044.6259176722</v>
      </c>
      <c r="E110" s="50" t="s">
        <v>79</v>
      </c>
      <c r="F110" s="319">
        <f ca="1">Ts!$N$41</f>
        <v>0.06</v>
      </c>
      <c r="G110" s="50"/>
    </row>
    <row r="111" spans="1:7" s="64" customFormat="1">
      <c r="A111" s="63"/>
      <c r="B111" s="1088" t="s">
        <v>113</v>
      </c>
      <c r="C111" s="50" t="s">
        <v>705</v>
      </c>
      <c r="D111" s="66">
        <f ca="1">D104+D109+D110</f>
        <v>73052455.057878882</v>
      </c>
      <c r="E111" s="50" t="s">
        <v>114</v>
      </c>
      <c r="F111" s="50"/>
      <c r="G111" s="50"/>
    </row>
    <row r="112" spans="1:7" s="64" customFormat="1">
      <c r="A112" s="62" t="s">
        <v>80</v>
      </c>
      <c r="B112" s="1089" t="s">
        <v>115</v>
      </c>
      <c r="C112" s="50" t="str">
        <f>"G*"&amp;F112*100&amp;"%"</f>
        <v>G*10%</v>
      </c>
      <c r="D112" s="65">
        <f ca="1">D111*F112</f>
        <v>7305245.5057878885</v>
      </c>
      <c r="E112" s="50" t="s">
        <v>116</v>
      </c>
      <c r="F112" s="320">
        <f>Ts!$N$42</f>
        <v>0.1</v>
      </c>
      <c r="G112" s="50"/>
    </row>
    <row r="113" spans="1:7" s="64" customFormat="1" ht="18.75">
      <c r="A113" s="586"/>
      <c r="B113" s="1090" t="s">
        <v>117</v>
      </c>
      <c r="C113" s="200" t="s">
        <v>596</v>
      </c>
      <c r="D113" s="598">
        <f ca="1">D111+D112</f>
        <v>80357700.563666776</v>
      </c>
      <c r="E113" s="200" t="s">
        <v>177</v>
      </c>
      <c r="F113" s="200"/>
      <c r="G113" s="200"/>
    </row>
    <row r="114" spans="1:7" s="64" customFormat="1" ht="18.75">
      <c r="A114" s="537"/>
      <c r="B114" s="1091" t="s">
        <v>168</v>
      </c>
      <c r="C114" s="50" t="str">
        <f ca="1">"GXD*"&amp;F114*100&amp;"%"</f>
        <v>GXD*6%</v>
      </c>
      <c r="D114" s="538">
        <f ca="1">D113*F114</f>
        <v>4821462.0338200061</v>
      </c>
      <c r="E114" s="539" t="s">
        <v>334</v>
      </c>
      <c r="F114" s="540">
        <f ca="1">IF(CF_TDGDD&lt;&gt;0,0,'CP Du phong'!$D$110)</f>
        <v>0.06</v>
      </c>
      <c r="G114" s="541"/>
    </row>
    <row r="115" spans="1:7" s="64" customFormat="1" ht="18.75">
      <c r="A115" s="569"/>
      <c r="B115" s="1092" t="s">
        <v>595</v>
      </c>
      <c r="C115" s="570" t="s">
        <v>1636</v>
      </c>
      <c r="D115" s="571">
        <f ca="1">D113+D114</f>
        <v>85179162.597486779</v>
      </c>
      <c r="E115" s="572" t="s">
        <v>336</v>
      </c>
      <c r="F115" s="570"/>
      <c r="G115" s="570"/>
    </row>
    <row r="116" spans="1:7" s="64" customFormat="1">
      <c r="B116" s="68"/>
      <c r="C116" s="68"/>
      <c r="D116" s="68"/>
      <c r="E116" s="68"/>
      <c r="F116" s="68"/>
      <c r="G116" s="68"/>
    </row>
    <row r="117" spans="1:7" s="64" customFormat="1" ht="22.5">
      <c r="A117" s="1325" t="s">
        <v>91</v>
      </c>
      <c r="B117" s="2"/>
      <c r="C117" s="6"/>
      <c r="D117" s="6"/>
      <c r="E117" s="6"/>
      <c r="F117" s="17"/>
      <c r="G117" s="17"/>
    </row>
    <row r="118" spans="1:7" s="64" customFormat="1" ht="18.75">
      <c r="A118" s="1019" t="str">
        <f>Ts!H4&amp;Ts!K4</f>
        <v>CÔNG TRÌNH: NHÀ 01 TẦNG, TƯỜNG CHỊU LỰC 110MM, MÁI LỢP FIBRÔXIMĂNG, KHÔNG CÓ KHU VỆ SINH KHÉP KÍN</v>
      </c>
      <c r="B118" s="6"/>
      <c r="C118" s="6"/>
      <c r="D118" s="6"/>
      <c r="E118" s="6"/>
      <c r="F118" s="179"/>
      <c r="G118" s="6"/>
    </row>
    <row r="119" spans="1:7" s="64" customFormat="1" ht="18.75">
      <c r="A119" s="1019" t="str">
        <f>"HẠNG MỤC: "&amp;'Du toan XD'!F207</f>
        <v>HẠNG MỤC: HỆ KÉT CẤU MÁI</v>
      </c>
      <c r="B119" s="6"/>
      <c r="C119" s="6"/>
      <c r="D119" s="6"/>
      <c r="E119" s="6"/>
      <c r="F119" s="179"/>
      <c r="G119" s="6"/>
    </row>
    <row r="120" spans="1:7" s="64" customFormat="1">
      <c r="A120" s="17"/>
      <c r="B120" s="17"/>
      <c r="C120" s="17"/>
      <c r="D120" s="17"/>
      <c r="E120" s="56" t="s">
        <v>310</v>
      </c>
      <c r="F120" s="56"/>
      <c r="G120" s="56"/>
    </row>
    <row r="121" spans="1:7" s="64" customFormat="1">
      <c r="A121" s="1018" t="s">
        <v>196</v>
      </c>
      <c r="B121" s="1018" t="s">
        <v>42</v>
      </c>
      <c r="C121" s="1018" t="s">
        <v>44</v>
      </c>
      <c r="D121" s="1018" t="s">
        <v>93</v>
      </c>
      <c r="E121" s="1018" t="s">
        <v>94</v>
      </c>
      <c r="F121" s="1018" t="s">
        <v>178</v>
      </c>
      <c r="G121" s="1018" t="s">
        <v>192</v>
      </c>
    </row>
    <row r="122" spans="1:7" s="64" customFormat="1">
      <c r="A122" s="58"/>
      <c r="B122" s="1087" t="s">
        <v>95</v>
      </c>
      <c r="C122" s="58"/>
      <c r="D122" s="59"/>
      <c r="E122" s="58"/>
      <c r="F122" s="58"/>
      <c r="G122" s="58"/>
    </row>
    <row r="123" spans="1:7" s="64" customFormat="1">
      <c r="A123" s="50"/>
      <c r="B123" s="60" t="s">
        <v>96</v>
      </c>
      <c r="C123" s="50"/>
      <c r="D123" s="61">
        <f>'Du toan XD'!N214+'Du toan XD'!O214</f>
        <v>9004663.9404000007</v>
      </c>
      <c r="E123" s="50" t="s">
        <v>97</v>
      </c>
      <c r="F123" s="50"/>
      <c r="G123" s="50"/>
    </row>
    <row r="124" spans="1:7" s="64" customFormat="1" hidden="1">
      <c r="A124" s="50"/>
      <c r="B124" s="60" t="s">
        <v>98</v>
      </c>
      <c r="C124" s="50"/>
      <c r="D124" s="61"/>
      <c r="E124" s="50" t="s">
        <v>264</v>
      </c>
      <c r="F124" s="50"/>
      <c r="G124" s="50"/>
    </row>
    <row r="125" spans="1:7" s="64" customFormat="1">
      <c r="A125" s="50"/>
      <c r="B125" s="60" t="s">
        <v>99</v>
      </c>
      <c r="C125" s="50"/>
      <c r="D125" s="61">
        <f>'Du toan XD'!P214</f>
        <v>2495462.7642000001</v>
      </c>
      <c r="E125" s="50" t="s">
        <v>195</v>
      </c>
      <c r="F125" s="50"/>
      <c r="G125" s="50"/>
    </row>
    <row r="126" spans="1:7" s="64" customFormat="1" hidden="1">
      <c r="A126" s="50"/>
      <c r="B126" s="60" t="s">
        <v>255</v>
      </c>
      <c r="C126" s="50"/>
      <c r="D126" s="61"/>
      <c r="E126" s="50" t="s">
        <v>256</v>
      </c>
      <c r="F126" s="50"/>
      <c r="G126" s="50"/>
    </row>
    <row r="127" spans="1:7" s="64" customFormat="1">
      <c r="A127" s="50"/>
      <c r="B127" s="60" t="s">
        <v>100</v>
      </c>
      <c r="C127" s="50"/>
      <c r="D127" s="61">
        <f>'Du toan XD'!Q214</f>
        <v>167630.10680000001</v>
      </c>
      <c r="E127" s="50" t="s">
        <v>101</v>
      </c>
      <c r="F127" s="50"/>
      <c r="G127" s="50"/>
    </row>
    <row r="128" spans="1:7" s="64" customFormat="1" hidden="1">
      <c r="A128" s="50"/>
      <c r="B128" s="60" t="s">
        <v>102</v>
      </c>
      <c r="C128" s="50"/>
      <c r="D128" s="61"/>
      <c r="E128" s="50" t="s">
        <v>103</v>
      </c>
      <c r="F128" s="50"/>
      <c r="G128" s="50"/>
    </row>
    <row r="129" spans="1:7" s="64" customFormat="1">
      <c r="A129" s="62" t="s">
        <v>73</v>
      </c>
      <c r="B129" s="1320" t="s">
        <v>104</v>
      </c>
      <c r="C129" s="50"/>
      <c r="D129" s="61"/>
      <c r="E129" s="50"/>
      <c r="F129" s="50"/>
      <c r="G129" s="50"/>
    </row>
    <row r="130" spans="1:7" s="64" customFormat="1">
      <c r="A130" s="156">
        <v>1</v>
      </c>
      <c r="B130" s="1318" t="s">
        <v>96</v>
      </c>
      <c r="C130" s="50" t="str">
        <f>IF(F130=0,"A+CLVL",IF(D124=0,"A*"&amp;F130,"(A + CLVL) * "&amp;F130))</f>
        <v>A*1</v>
      </c>
      <c r="D130" s="61">
        <f>IF(F130=0,D123+D124,(D123+D124)*F130)</f>
        <v>9004663.9404000007</v>
      </c>
      <c r="E130" s="50" t="s">
        <v>105</v>
      </c>
      <c r="F130" s="50">
        <f>ROUND(Ts!$N$37,3)</f>
        <v>1</v>
      </c>
      <c r="G130" s="50"/>
    </row>
    <row r="131" spans="1:7" s="64" customFormat="1">
      <c r="A131" s="156">
        <v>2</v>
      </c>
      <c r="B131" s="1318" t="s">
        <v>99</v>
      </c>
      <c r="C131" s="50" t="str">
        <f>IF(F131=0,"B+CLNC",IF($D$10&lt;&gt;0,IF(G131&lt;&gt;0,"B*"&amp;F131&amp;"*"&amp;G131&amp;"+CLNC","B*"&amp;F131&amp;"+CLNC"),IF(G131&lt;&gt;0,"B*"&amp;F131&amp;"*"&amp;G131,"B*"&amp;F131)))</f>
        <v>B*1</v>
      </c>
      <c r="D131" s="61">
        <f>PRODUCT(D125,F131:G131)+D126</f>
        <v>2495462.7642000001</v>
      </c>
      <c r="E131" s="50" t="s">
        <v>106</v>
      </c>
      <c r="F131" s="50">
        <f>ROUND(Ts!$N$38,4)</f>
        <v>1</v>
      </c>
      <c r="G131" s="50"/>
    </row>
    <row r="132" spans="1:7" s="64" customFormat="1">
      <c r="A132" s="156">
        <v>3</v>
      </c>
      <c r="B132" s="1318" t="s">
        <v>107</v>
      </c>
      <c r="C132" s="50" t="str">
        <f>IF(F132=0,"C+CLM",IF($D$12&lt;&gt;0,IF(G132&lt;&gt;0,"C*"&amp;F132&amp;"*"&amp;G132&amp;"+CLM","C*"&amp;F132&amp;"+CLM"),IF(G132&lt;&gt;0,"C*"&amp;F132&amp;"*"&amp;G132,"C*"&amp;F132)))</f>
        <v>C*1</v>
      </c>
      <c r="D132" s="61">
        <f>PRODUCT(D127,F132:G132)+D128</f>
        <v>167630.10680000001</v>
      </c>
      <c r="E132" s="50" t="s">
        <v>108</v>
      </c>
      <c r="F132" s="50">
        <f>ROUND(Ts!$N$39,4)</f>
        <v>1</v>
      </c>
      <c r="G132" s="50"/>
    </row>
    <row r="133" spans="1:7" s="64" customFormat="1">
      <c r="A133" s="156"/>
      <c r="B133" s="1319" t="s">
        <v>109</v>
      </c>
      <c r="C133" s="50" t="s">
        <v>333</v>
      </c>
      <c r="D133" s="65">
        <f>D130+D131+D132</f>
        <v>11667756.8114</v>
      </c>
      <c r="E133" s="50" t="s">
        <v>110</v>
      </c>
      <c r="F133" s="50"/>
      <c r="G133" s="50"/>
    </row>
    <row r="134" spans="1:7" s="64" customFormat="1">
      <c r="A134" s="39" t="s">
        <v>75</v>
      </c>
      <c r="B134" s="1320" t="s">
        <v>706</v>
      </c>
      <c r="C134" s="50"/>
      <c r="D134" s="65"/>
      <c r="E134" s="50"/>
      <c r="F134" s="50"/>
      <c r="G134" s="50"/>
    </row>
    <row r="135" spans="1:7" s="64" customFormat="1">
      <c r="A135" s="636">
        <v>1</v>
      </c>
      <c r="B135" s="1318" t="s">
        <v>378</v>
      </c>
      <c r="C135" s="50" t="str">
        <f ca="1">"T*"&amp;F135*100&amp;"%"</f>
        <v>T*6,2%</v>
      </c>
      <c r="D135" s="65">
        <f ca="1">D133*F135*G135</f>
        <v>723400.92230680003</v>
      </c>
      <c r="E135" s="50" t="s">
        <v>101</v>
      </c>
      <c r="F135" s="319">
        <f ca="1">Ts!$N$40</f>
        <v>6.2E-2</v>
      </c>
      <c r="G135" s="50">
        <v>1</v>
      </c>
    </row>
    <row r="136" spans="1:7" s="64" customFormat="1">
      <c r="A136" s="636">
        <v>2</v>
      </c>
      <c r="B136" s="1318" t="s">
        <v>702</v>
      </c>
      <c r="C136" s="50" t="str">
        <f>IF(G136&lt;&gt;1,"T*"&amp;F136*100&amp;"%"&amp;"*"&amp;G136,"T*"&amp;F136*100&amp;"%")</f>
        <v>T*1,1%</v>
      </c>
      <c r="D136" s="65">
        <f>IF(G136&lt;&gt;1,D133*F136*G136,D133*F136)</f>
        <v>128345.32492540001</v>
      </c>
      <c r="E136" s="50" t="s">
        <v>704</v>
      </c>
      <c r="F136" s="319">
        <f>Ts!$N$44</f>
        <v>1.1000000000000001E-2</v>
      </c>
      <c r="G136" s="50">
        <v>1</v>
      </c>
    </row>
    <row r="137" spans="1:7" s="64" customFormat="1" ht="31.5">
      <c r="A137" s="636">
        <v>3</v>
      </c>
      <c r="B137" s="1318" t="s">
        <v>703</v>
      </c>
      <c r="C137" s="50" t="str">
        <f ca="1">"T*"&amp;F137*100&amp;"%"</f>
        <v>T*2%</v>
      </c>
      <c r="D137" s="65">
        <f ca="1">D133*F137</f>
        <v>233355.13622800002</v>
      </c>
      <c r="E137" s="50" t="s">
        <v>33</v>
      </c>
      <c r="F137" s="319">
        <f ca="1">Ts!$N$43</f>
        <v>0.02</v>
      </c>
      <c r="G137" s="50"/>
    </row>
    <row r="138" spans="1:7" s="64" customFormat="1">
      <c r="A138" s="636"/>
      <c r="B138" s="1319" t="s">
        <v>701</v>
      </c>
      <c r="C138" s="50" t="s">
        <v>931</v>
      </c>
      <c r="D138" s="65">
        <f ca="1">D135+D136+D137</f>
        <v>1085101.3834601999</v>
      </c>
      <c r="E138" s="50" t="s">
        <v>78</v>
      </c>
      <c r="F138" s="319"/>
      <c r="G138" s="50"/>
    </row>
    <row r="139" spans="1:7" s="64" customFormat="1">
      <c r="A139" s="62" t="s">
        <v>77</v>
      </c>
      <c r="B139" s="1320" t="s">
        <v>112</v>
      </c>
      <c r="C139" s="50" t="str">
        <f ca="1">"(T+GT)*"&amp;F139*100&amp;"%"</f>
        <v>(T+GT)*6%</v>
      </c>
      <c r="D139" s="65">
        <f ca="1">(D133+D138)*F139</f>
        <v>765171.49169161194</v>
      </c>
      <c r="E139" s="50" t="s">
        <v>79</v>
      </c>
      <c r="F139" s="319">
        <f ca="1">Ts!$N$41</f>
        <v>0.06</v>
      </c>
      <c r="G139" s="50"/>
    </row>
    <row r="140" spans="1:7" s="64" customFormat="1">
      <c r="A140" s="63"/>
      <c r="B140" s="1088" t="s">
        <v>113</v>
      </c>
      <c r="C140" s="50" t="s">
        <v>705</v>
      </c>
      <c r="D140" s="66">
        <f ca="1">D133+D138+D139</f>
        <v>13518029.686551811</v>
      </c>
      <c r="E140" s="50" t="s">
        <v>114</v>
      </c>
      <c r="F140" s="50"/>
      <c r="G140" s="50"/>
    </row>
    <row r="141" spans="1:7" s="64" customFormat="1">
      <c r="A141" s="62" t="s">
        <v>80</v>
      </c>
      <c r="B141" s="1089" t="s">
        <v>115</v>
      </c>
      <c r="C141" s="50" t="str">
        <f>"G*"&amp;F141*100&amp;"%"</f>
        <v>G*10%</v>
      </c>
      <c r="D141" s="65">
        <f ca="1">D140*F141</f>
        <v>1351802.9686551811</v>
      </c>
      <c r="E141" s="50" t="s">
        <v>116</v>
      </c>
      <c r="F141" s="320">
        <f>Ts!$N$42</f>
        <v>0.1</v>
      </c>
      <c r="G141" s="50"/>
    </row>
    <row r="142" spans="1:7" s="64" customFormat="1" ht="18.75">
      <c r="A142" s="586"/>
      <c r="B142" s="1090" t="s">
        <v>117</v>
      </c>
      <c r="C142" s="200" t="s">
        <v>596</v>
      </c>
      <c r="D142" s="598">
        <f ca="1">D140+D141</f>
        <v>14869832.655206993</v>
      </c>
      <c r="E142" s="200" t="s">
        <v>177</v>
      </c>
      <c r="F142" s="200"/>
      <c r="G142" s="200"/>
    </row>
    <row r="143" spans="1:7" s="64" customFormat="1" ht="18.75">
      <c r="A143" s="537"/>
      <c r="B143" s="1091" t="s">
        <v>168</v>
      </c>
      <c r="C143" s="50" t="str">
        <f ca="1">"GXD*"&amp;F143*100&amp;"%"</f>
        <v>GXD*6%</v>
      </c>
      <c r="D143" s="538">
        <f ca="1">D142*F143</f>
        <v>892189.95931241952</v>
      </c>
      <c r="E143" s="539" t="s">
        <v>334</v>
      </c>
      <c r="F143" s="540">
        <f ca="1">IF(CF_TDGDD&lt;&gt;0,0,'CP Du phong'!$D$110)</f>
        <v>0.06</v>
      </c>
      <c r="G143" s="541"/>
    </row>
    <row r="144" spans="1:7" s="64" customFormat="1" ht="18.75">
      <c r="A144" s="569"/>
      <c r="B144" s="1092" t="s">
        <v>595</v>
      </c>
      <c r="C144" s="570" t="s">
        <v>1636</v>
      </c>
      <c r="D144" s="571">
        <f ca="1">D142+D143</f>
        <v>15762022.614519414</v>
      </c>
      <c r="E144" s="572" t="s">
        <v>336</v>
      </c>
      <c r="F144" s="570"/>
      <c r="G144" s="570"/>
    </row>
    <row r="145" spans="1:7" s="64" customFormat="1">
      <c r="B145" s="68"/>
      <c r="C145" s="68"/>
      <c r="D145" s="68"/>
      <c r="E145" s="68"/>
      <c r="F145" s="68"/>
      <c r="G145" s="68"/>
    </row>
    <row r="146" spans="1:7" s="64" customFormat="1" ht="22.5">
      <c r="A146" s="1325" t="s">
        <v>91</v>
      </c>
      <c r="B146" s="2"/>
      <c r="C146" s="6"/>
      <c r="D146" s="6"/>
      <c r="E146" s="6"/>
      <c r="F146" s="17"/>
      <c r="G146" s="17"/>
    </row>
    <row r="147" spans="1:7" s="64" customFormat="1" ht="18.75">
      <c r="A147" s="1019" t="str">
        <f>Ts!H4&amp;Ts!K4</f>
        <v>CÔNG TRÌNH: NHÀ 01 TẦNG, TƯỜNG CHỊU LỰC 110MM, MÁI LỢP FIBRÔXIMĂNG, KHÔNG CÓ KHU VỆ SINH KHÉP KÍN</v>
      </c>
      <c r="B147" s="6"/>
      <c r="C147" s="6"/>
      <c r="D147" s="6"/>
      <c r="E147" s="6"/>
      <c r="F147" s="179"/>
      <c r="G147" s="6"/>
    </row>
    <row r="148" spans="1:7" s="64" customFormat="1" ht="18.75">
      <c r="A148" s="1019" t="str">
        <f>"HẠNG MỤC: "&amp;'Du toan XD'!F215</f>
        <v>HẠNG MỤC: PHẦN HOÀN THIỆN</v>
      </c>
      <c r="B148" s="6"/>
      <c r="C148" s="6"/>
      <c r="D148" s="6"/>
      <c r="E148" s="6"/>
      <c r="F148" s="179"/>
      <c r="G148" s="6"/>
    </row>
    <row r="149" spans="1:7" s="64" customFormat="1">
      <c r="A149" s="17"/>
      <c r="B149" s="17"/>
      <c r="C149" s="17"/>
      <c r="D149" s="17"/>
      <c r="E149" s="56" t="s">
        <v>310</v>
      </c>
      <c r="F149" s="56"/>
      <c r="G149" s="56"/>
    </row>
    <row r="150" spans="1:7" s="64" customFormat="1">
      <c r="A150" s="1018" t="s">
        <v>196</v>
      </c>
      <c r="B150" s="1018" t="s">
        <v>42</v>
      </c>
      <c r="C150" s="1018" t="s">
        <v>44</v>
      </c>
      <c r="D150" s="1018" t="s">
        <v>93</v>
      </c>
      <c r="E150" s="1018" t="s">
        <v>94</v>
      </c>
      <c r="F150" s="1018" t="s">
        <v>178</v>
      </c>
      <c r="G150" s="1018" t="s">
        <v>192</v>
      </c>
    </row>
    <row r="151" spans="1:7" s="64" customFormat="1">
      <c r="A151" s="58"/>
      <c r="B151" s="1087" t="s">
        <v>95</v>
      </c>
      <c r="C151" s="58"/>
      <c r="D151" s="59"/>
      <c r="E151" s="58"/>
      <c r="F151" s="58"/>
      <c r="G151" s="58"/>
    </row>
    <row r="152" spans="1:7" s="64" customFormat="1">
      <c r="A152" s="50"/>
      <c r="B152" s="60" t="s">
        <v>96</v>
      </c>
      <c r="C152" s="50"/>
      <c r="D152" s="61">
        <f>'Du toan XD'!N289+'Du toan XD'!O289</f>
        <v>28797294.735399995</v>
      </c>
      <c r="E152" s="50" t="s">
        <v>97</v>
      </c>
      <c r="F152" s="50"/>
      <c r="G152" s="50"/>
    </row>
    <row r="153" spans="1:7" s="64" customFormat="1" hidden="1">
      <c r="A153" s="50"/>
      <c r="B153" s="60" t="s">
        <v>98</v>
      </c>
      <c r="C153" s="50"/>
      <c r="D153" s="61"/>
      <c r="E153" s="50" t="s">
        <v>264</v>
      </c>
      <c r="F153" s="50"/>
      <c r="G153" s="50"/>
    </row>
    <row r="154" spans="1:7" s="64" customFormat="1">
      <c r="A154" s="50"/>
      <c r="B154" s="60" t="s">
        <v>99</v>
      </c>
      <c r="C154" s="50"/>
      <c r="D154" s="61">
        <f>'Du toan XD'!P289</f>
        <v>35976786.107000001</v>
      </c>
      <c r="E154" s="50" t="s">
        <v>195</v>
      </c>
      <c r="F154" s="50"/>
      <c r="G154" s="50"/>
    </row>
    <row r="155" spans="1:7" s="64" customFormat="1" hidden="1">
      <c r="A155" s="50"/>
      <c r="B155" s="60" t="s">
        <v>255</v>
      </c>
      <c r="C155" s="50"/>
      <c r="D155" s="61"/>
      <c r="E155" s="50" t="s">
        <v>256</v>
      </c>
      <c r="F155" s="50"/>
      <c r="G155" s="50"/>
    </row>
    <row r="156" spans="1:7" s="64" customFormat="1">
      <c r="A156" s="50"/>
      <c r="B156" s="60" t="s">
        <v>100</v>
      </c>
      <c r="C156" s="50"/>
      <c r="D156" s="61">
        <f>'Du toan XD'!Q289</f>
        <v>188035.35759999999</v>
      </c>
      <c r="E156" s="50" t="s">
        <v>101</v>
      </c>
      <c r="F156" s="50"/>
      <c r="G156" s="50"/>
    </row>
    <row r="157" spans="1:7" s="64" customFormat="1" hidden="1">
      <c r="A157" s="50"/>
      <c r="B157" s="60" t="s">
        <v>102</v>
      </c>
      <c r="C157" s="50"/>
      <c r="D157" s="61"/>
      <c r="E157" s="50" t="s">
        <v>103</v>
      </c>
      <c r="F157" s="50"/>
      <c r="G157" s="50"/>
    </row>
    <row r="158" spans="1:7" s="64" customFormat="1">
      <c r="A158" s="62" t="s">
        <v>73</v>
      </c>
      <c r="B158" s="1320" t="s">
        <v>104</v>
      </c>
      <c r="C158" s="50"/>
      <c r="D158" s="61"/>
      <c r="E158" s="50"/>
      <c r="F158" s="50"/>
      <c r="G158" s="50"/>
    </row>
    <row r="159" spans="1:7" s="64" customFormat="1">
      <c r="A159" s="156">
        <v>1</v>
      </c>
      <c r="B159" s="1318" t="s">
        <v>96</v>
      </c>
      <c r="C159" s="50" t="str">
        <f>IF(F159=0,"A+CLVL",IF(D153=0,"A*"&amp;F159,"(A + CLVL) * "&amp;F159))</f>
        <v>A*1</v>
      </c>
      <c r="D159" s="61">
        <f>IF(F159=0,D152+D153,(D152+D153)*F159)</f>
        <v>28797294.735399995</v>
      </c>
      <c r="E159" s="50" t="s">
        <v>105</v>
      </c>
      <c r="F159" s="50">
        <f>ROUND(Ts!$N$37,3)</f>
        <v>1</v>
      </c>
      <c r="G159" s="50"/>
    </row>
    <row r="160" spans="1:7" s="64" customFormat="1">
      <c r="A160" s="156">
        <v>2</v>
      </c>
      <c r="B160" s="1318" t="s">
        <v>99</v>
      </c>
      <c r="C160" s="50" t="str">
        <f>IF(F160=0,"B+CLNC",IF($D$10&lt;&gt;0,IF(G160&lt;&gt;0,"B*"&amp;F160&amp;"*"&amp;G160&amp;"+CLNC","B*"&amp;F160&amp;"+CLNC"),IF(G160&lt;&gt;0,"B*"&amp;F160&amp;"*"&amp;G160,"B*"&amp;F160)))</f>
        <v>B*1</v>
      </c>
      <c r="D160" s="61">
        <f>PRODUCT(D154,F160:G160)+D155</f>
        <v>35976786.107000001</v>
      </c>
      <c r="E160" s="50" t="s">
        <v>106</v>
      </c>
      <c r="F160" s="50">
        <f>ROUND(Ts!$N$38,4)</f>
        <v>1</v>
      </c>
      <c r="G160" s="50"/>
    </row>
    <row r="161" spans="1:7" s="64" customFormat="1">
      <c r="A161" s="156">
        <v>3</v>
      </c>
      <c r="B161" s="1318" t="s">
        <v>107</v>
      </c>
      <c r="C161" s="50" t="str">
        <f>IF(F161=0,"C+CLM",IF($D$12&lt;&gt;0,IF(G161&lt;&gt;0,"C*"&amp;F161&amp;"*"&amp;G161&amp;"+CLM","C*"&amp;F161&amp;"+CLM"),IF(G161&lt;&gt;0,"C*"&amp;F161&amp;"*"&amp;G161,"C*"&amp;F161)))</f>
        <v>C*1</v>
      </c>
      <c r="D161" s="61">
        <f>PRODUCT(D156,F161:G161)+D157</f>
        <v>188035.35759999999</v>
      </c>
      <c r="E161" s="50" t="s">
        <v>108</v>
      </c>
      <c r="F161" s="50">
        <f>ROUND(Ts!$N$39,4)</f>
        <v>1</v>
      </c>
      <c r="G161" s="50"/>
    </row>
    <row r="162" spans="1:7" s="64" customFormat="1">
      <c r="A162" s="156"/>
      <c r="B162" s="1319" t="s">
        <v>109</v>
      </c>
      <c r="C162" s="50" t="s">
        <v>333</v>
      </c>
      <c r="D162" s="65">
        <f>D159+D160+D161</f>
        <v>64962116.200000003</v>
      </c>
      <c r="E162" s="50" t="s">
        <v>110</v>
      </c>
      <c r="F162" s="50"/>
      <c r="G162" s="50"/>
    </row>
    <row r="163" spans="1:7" s="64" customFormat="1">
      <c r="A163" s="39" t="s">
        <v>75</v>
      </c>
      <c r="B163" s="1320" t="s">
        <v>706</v>
      </c>
      <c r="C163" s="50"/>
      <c r="D163" s="65"/>
      <c r="E163" s="50"/>
      <c r="F163" s="50"/>
      <c r="G163" s="50"/>
    </row>
    <row r="164" spans="1:7" s="64" customFormat="1">
      <c r="A164" s="636">
        <v>1</v>
      </c>
      <c r="B164" s="1318" t="s">
        <v>378</v>
      </c>
      <c r="C164" s="50" t="str">
        <f ca="1">"T*"&amp;F164*100&amp;"%"</f>
        <v>T*6,2%</v>
      </c>
      <c r="D164" s="65">
        <f ca="1">D162*F164*G164</f>
        <v>4027651.2044000002</v>
      </c>
      <c r="E164" s="50" t="s">
        <v>101</v>
      </c>
      <c r="F164" s="319">
        <f ca="1">Ts!$N$40</f>
        <v>6.2E-2</v>
      </c>
      <c r="G164" s="50">
        <v>1</v>
      </c>
    </row>
    <row r="165" spans="1:7" s="64" customFormat="1">
      <c r="A165" s="636">
        <v>2</v>
      </c>
      <c r="B165" s="1318" t="s">
        <v>702</v>
      </c>
      <c r="C165" s="50" t="str">
        <f>IF(G165&lt;&gt;1,"T*"&amp;F165*100&amp;"%"&amp;"*"&amp;G165,"T*"&amp;F165*100&amp;"%")</f>
        <v>T*1,1%</v>
      </c>
      <c r="D165" s="65">
        <f>IF(G165&lt;&gt;1,D162*F165*G165,D162*F165)</f>
        <v>714583.27820000006</v>
      </c>
      <c r="E165" s="50" t="s">
        <v>704</v>
      </c>
      <c r="F165" s="319">
        <f>Ts!$N$44</f>
        <v>1.1000000000000001E-2</v>
      </c>
      <c r="G165" s="50">
        <v>1</v>
      </c>
    </row>
    <row r="166" spans="1:7" s="64" customFormat="1" ht="31.5">
      <c r="A166" s="636">
        <v>3</v>
      </c>
      <c r="B166" s="1318" t="s">
        <v>703</v>
      </c>
      <c r="C166" s="50" t="str">
        <f ca="1">"T*"&amp;F166*100&amp;"%"</f>
        <v>T*2%</v>
      </c>
      <c r="D166" s="65">
        <f ca="1">D162*F166</f>
        <v>1299242.324</v>
      </c>
      <c r="E166" s="50" t="s">
        <v>33</v>
      </c>
      <c r="F166" s="319">
        <f ca="1">Ts!$N$43</f>
        <v>0.02</v>
      </c>
      <c r="G166" s="50"/>
    </row>
    <row r="167" spans="1:7" s="64" customFormat="1">
      <c r="A167" s="636"/>
      <c r="B167" s="1319" t="s">
        <v>701</v>
      </c>
      <c r="C167" s="50" t="s">
        <v>931</v>
      </c>
      <c r="D167" s="65">
        <f ca="1">D164+D165+D166</f>
        <v>6041476.8065999998</v>
      </c>
      <c r="E167" s="50" t="s">
        <v>78</v>
      </c>
      <c r="F167" s="319"/>
      <c r="G167" s="50"/>
    </row>
    <row r="168" spans="1:7" s="64" customFormat="1">
      <c r="A168" s="62" t="s">
        <v>77</v>
      </c>
      <c r="B168" s="1320" t="s">
        <v>112</v>
      </c>
      <c r="C168" s="50" t="str">
        <f ca="1">"(T+GT)*"&amp;F168*100&amp;"%"</f>
        <v>(T+GT)*6%</v>
      </c>
      <c r="D168" s="65">
        <f ca="1">(D162+D167)*F168</f>
        <v>4260215.5803960003</v>
      </c>
      <c r="E168" s="50" t="s">
        <v>79</v>
      </c>
      <c r="F168" s="319">
        <f ca="1">Ts!$N$41</f>
        <v>0.06</v>
      </c>
      <c r="G168" s="50"/>
    </row>
    <row r="169" spans="1:7" s="64" customFormat="1">
      <c r="A169" s="63"/>
      <c r="B169" s="1088" t="s">
        <v>113</v>
      </c>
      <c r="C169" s="50" t="s">
        <v>705</v>
      </c>
      <c r="D169" s="66">
        <f ca="1">D162+D167+D168</f>
        <v>75263808.586996004</v>
      </c>
      <c r="E169" s="50" t="s">
        <v>114</v>
      </c>
      <c r="F169" s="50"/>
      <c r="G169" s="50"/>
    </row>
    <row r="170" spans="1:7" s="64" customFormat="1">
      <c r="A170" s="62" t="s">
        <v>80</v>
      </c>
      <c r="B170" s="1089" t="s">
        <v>115</v>
      </c>
      <c r="C170" s="50" t="str">
        <f>"G*"&amp;F170*100&amp;"%"</f>
        <v>G*10%</v>
      </c>
      <c r="D170" s="65">
        <f ca="1">D169*F170</f>
        <v>7526380.8586996011</v>
      </c>
      <c r="E170" s="50" t="s">
        <v>116</v>
      </c>
      <c r="F170" s="320">
        <f>Ts!$N$42</f>
        <v>0.1</v>
      </c>
      <c r="G170" s="50"/>
    </row>
    <row r="171" spans="1:7" s="64" customFormat="1" ht="18.75">
      <c r="A171" s="586"/>
      <c r="B171" s="1090" t="s">
        <v>117</v>
      </c>
      <c r="C171" s="200" t="s">
        <v>596</v>
      </c>
      <c r="D171" s="598">
        <f ca="1">D169+D170</f>
        <v>82790189.445695609</v>
      </c>
      <c r="E171" s="200" t="s">
        <v>177</v>
      </c>
      <c r="F171" s="200"/>
      <c r="G171" s="200"/>
    </row>
    <row r="172" spans="1:7" s="64" customFormat="1" ht="18.75">
      <c r="A172" s="537"/>
      <c r="B172" s="1091" t="s">
        <v>168</v>
      </c>
      <c r="C172" s="50" t="str">
        <f ca="1">"GXD*"&amp;F172*100&amp;"%"</f>
        <v>GXD*6%</v>
      </c>
      <c r="D172" s="538">
        <f ca="1">D171*F172</f>
        <v>4967411.3667417364</v>
      </c>
      <c r="E172" s="539" t="s">
        <v>334</v>
      </c>
      <c r="F172" s="540">
        <f ca="1">IF(CF_TDGDD&lt;&gt;0,0,'CP Du phong'!$D$110)</f>
        <v>0.06</v>
      </c>
      <c r="G172" s="541"/>
    </row>
    <row r="173" spans="1:7" s="64" customFormat="1" ht="18.75">
      <c r="A173" s="569"/>
      <c r="B173" s="1092" t="s">
        <v>595</v>
      </c>
      <c r="C173" s="570" t="s">
        <v>1636</v>
      </c>
      <c r="D173" s="571">
        <f ca="1">D171+D172</f>
        <v>87757600.812437341</v>
      </c>
      <c r="E173" s="572" t="s">
        <v>336</v>
      </c>
      <c r="F173" s="570"/>
      <c r="G173" s="570"/>
    </row>
    <row r="174" spans="1:7" s="64" customFormat="1">
      <c r="B174" s="68"/>
      <c r="C174" s="68"/>
      <c r="D174" s="68"/>
      <c r="E174" s="68"/>
      <c r="F174" s="68"/>
      <c r="G174" s="68"/>
    </row>
    <row r="175" spans="1:7" s="64" customFormat="1" ht="22.5">
      <c r="A175" s="1325" t="s">
        <v>91</v>
      </c>
      <c r="B175" s="2"/>
      <c r="C175" s="6"/>
      <c r="D175" s="6"/>
      <c r="E175" s="6"/>
      <c r="F175" s="17"/>
      <c r="G175" s="17"/>
    </row>
    <row r="176" spans="1:7" s="64" customFormat="1" ht="18.75">
      <c r="A176" s="1019" t="str">
        <f>Ts!H4&amp;Ts!K4</f>
        <v>CÔNG TRÌNH: NHÀ 01 TẦNG, TƯỜNG CHỊU LỰC 110MM, MÁI LỢP FIBRÔXIMĂNG, KHÔNG CÓ KHU VỆ SINH KHÉP KÍN</v>
      </c>
      <c r="B176" s="6"/>
      <c r="C176" s="6"/>
      <c r="D176" s="6"/>
      <c r="E176" s="6"/>
      <c r="F176" s="179"/>
      <c r="G176" s="6"/>
    </row>
    <row r="177" spans="1:7" s="64" customFormat="1" ht="18.75">
      <c r="A177" s="1019" t="str">
        <f>"HẠNG MỤC: "&amp;'Du toan XD'!F290</f>
        <v>HẠNG MỤC: HỆ CỬA</v>
      </c>
      <c r="B177" s="6"/>
      <c r="C177" s="6"/>
      <c r="D177" s="6"/>
      <c r="E177" s="6"/>
      <c r="F177" s="179"/>
      <c r="G177" s="6"/>
    </row>
    <row r="178" spans="1:7" s="64" customFormat="1">
      <c r="A178" s="17"/>
      <c r="B178" s="17"/>
      <c r="C178" s="17"/>
      <c r="D178" s="17"/>
      <c r="E178" s="56" t="s">
        <v>310</v>
      </c>
      <c r="F178" s="56"/>
      <c r="G178" s="56"/>
    </row>
    <row r="179" spans="1:7" s="64" customFormat="1">
      <c r="A179" s="1018" t="s">
        <v>196</v>
      </c>
      <c r="B179" s="1018" t="s">
        <v>42</v>
      </c>
      <c r="C179" s="1018" t="s">
        <v>44</v>
      </c>
      <c r="D179" s="1018" t="s">
        <v>93</v>
      </c>
      <c r="E179" s="1018" t="s">
        <v>94</v>
      </c>
      <c r="F179" s="1018" t="s">
        <v>178</v>
      </c>
      <c r="G179" s="1018" t="s">
        <v>192</v>
      </c>
    </row>
    <row r="180" spans="1:7" s="64" customFormat="1">
      <c r="A180" s="58"/>
      <c r="B180" s="1087" t="s">
        <v>95</v>
      </c>
      <c r="C180" s="58"/>
      <c r="D180" s="59"/>
      <c r="E180" s="58"/>
      <c r="F180" s="58"/>
      <c r="G180" s="58"/>
    </row>
    <row r="181" spans="1:7" s="64" customFormat="1">
      <c r="A181" s="50"/>
      <c r="B181" s="60" t="s">
        <v>96</v>
      </c>
      <c r="C181" s="50"/>
      <c r="D181" s="61">
        <f>'Du toan XD'!N310+'Du toan XD'!O310</f>
        <v>42581999.813699998</v>
      </c>
      <c r="E181" s="50" t="s">
        <v>97</v>
      </c>
      <c r="F181" s="50"/>
      <c r="G181" s="50"/>
    </row>
    <row r="182" spans="1:7" s="64" customFormat="1" hidden="1">
      <c r="A182" s="50"/>
      <c r="B182" s="60" t="s">
        <v>98</v>
      </c>
      <c r="C182" s="50"/>
      <c r="D182" s="61"/>
      <c r="E182" s="50" t="s">
        <v>264</v>
      </c>
      <c r="F182" s="50"/>
      <c r="G182" s="50"/>
    </row>
    <row r="183" spans="1:7" s="64" customFormat="1">
      <c r="A183" s="50"/>
      <c r="B183" s="60" t="s">
        <v>99</v>
      </c>
      <c r="C183" s="50"/>
      <c r="D183" s="61">
        <f>'Du toan XD'!P310</f>
        <v>1484941.0038000001</v>
      </c>
      <c r="E183" s="50" t="s">
        <v>195</v>
      </c>
      <c r="F183" s="50"/>
      <c r="G183" s="50"/>
    </row>
    <row r="184" spans="1:7" s="64" customFormat="1" hidden="1">
      <c r="A184" s="50"/>
      <c r="B184" s="60" t="s">
        <v>255</v>
      </c>
      <c r="C184" s="50"/>
      <c r="D184" s="61"/>
      <c r="E184" s="50" t="s">
        <v>256</v>
      </c>
      <c r="F184" s="50"/>
      <c r="G184" s="50"/>
    </row>
    <row r="185" spans="1:7" s="64" customFormat="1">
      <c r="A185" s="50"/>
      <c r="B185" s="60" t="s">
        <v>100</v>
      </c>
      <c r="C185" s="50"/>
      <c r="D185" s="61">
        <f>'Du toan XD'!Q310</f>
        <v>73882.079699999987</v>
      </c>
      <c r="E185" s="50" t="s">
        <v>101</v>
      </c>
      <c r="F185" s="50"/>
      <c r="G185" s="50"/>
    </row>
    <row r="186" spans="1:7" s="64" customFormat="1" hidden="1">
      <c r="A186" s="50"/>
      <c r="B186" s="60" t="s">
        <v>102</v>
      </c>
      <c r="C186" s="50"/>
      <c r="D186" s="61"/>
      <c r="E186" s="50" t="s">
        <v>103</v>
      </c>
      <c r="F186" s="50"/>
      <c r="G186" s="50"/>
    </row>
    <row r="187" spans="1:7" s="64" customFormat="1">
      <c r="A187" s="62" t="s">
        <v>73</v>
      </c>
      <c r="B187" s="1320" t="s">
        <v>104</v>
      </c>
      <c r="C187" s="50"/>
      <c r="D187" s="61"/>
      <c r="E187" s="50"/>
      <c r="F187" s="50"/>
      <c r="G187" s="50"/>
    </row>
    <row r="188" spans="1:7" s="64" customFormat="1">
      <c r="A188" s="156">
        <v>1</v>
      </c>
      <c r="B188" s="1318" t="s">
        <v>96</v>
      </c>
      <c r="C188" s="50" t="str">
        <f>IF(F188=0,"A+CLVL",IF(D182=0,"A*"&amp;F188,"(A + CLVL) * "&amp;F188))</f>
        <v>A*1</v>
      </c>
      <c r="D188" s="61">
        <f>IF(F188=0,D181+D182,(D181+D182)*F188)</f>
        <v>42581999.813699998</v>
      </c>
      <c r="E188" s="50" t="s">
        <v>105</v>
      </c>
      <c r="F188" s="50">
        <f>ROUND(Ts!$N$37,3)</f>
        <v>1</v>
      </c>
      <c r="G188" s="50"/>
    </row>
    <row r="189" spans="1:7" s="64" customFormat="1">
      <c r="A189" s="156">
        <v>2</v>
      </c>
      <c r="B189" s="1318" t="s">
        <v>99</v>
      </c>
      <c r="C189" s="50" t="str">
        <f>IF(F189=0,"B+CLNC",IF($D$10&lt;&gt;0,IF(G189&lt;&gt;0,"B*"&amp;F189&amp;"*"&amp;G189&amp;"+CLNC","B*"&amp;F189&amp;"+CLNC"),IF(G189&lt;&gt;0,"B*"&amp;F189&amp;"*"&amp;G189,"B*"&amp;F189)))</f>
        <v>B*1</v>
      </c>
      <c r="D189" s="61">
        <f>PRODUCT(D183,F189:G189)+D184</f>
        <v>1484941.0038000001</v>
      </c>
      <c r="E189" s="50" t="s">
        <v>106</v>
      </c>
      <c r="F189" s="50">
        <f>ROUND(Ts!$N$38,4)</f>
        <v>1</v>
      </c>
      <c r="G189" s="50"/>
    </row>
    <row r="190" spans="1:7" s="64" customFormat="1">
      <c r="A190" s="156">
        <v>3</v>
      </c>
      <c r="B190" s="1318" t="s">
        <v>107</v>
      </c>
      <c r="C190" s="50" t="str">
        <f>IF(F190=0,"C+CLM",IF($D$12&lt;&gt;0,IF(G190&lt;&gt;0,"C*"&amp;F190&amp;"*"&amp;G190&amp;"+CLM","C*"&amp;F190&amp;"+CLM"),IF(G190&lt;&gt;0,"C*"&amp;F190&amp;"*"&amp;G190,"C*"&amp;F190)))</f>
        <v>C*1</v>
      </c>
      <c r="D190" s="61">
        <f>PRODUCT(D185,F190:G190)+D186</f>
        <v>73882.079699999987</v>
      </c>
      <c r="E190" s="50" t="s">
        <v>108</v>
      </c>
      <c r="F190" s="50">
        <f>ROUND(Ts!$N$39,4)</f>
        <v>1</v>
      </c>
      <c r="G190" s="50"/>
    </row>
    <row r="191" spans="1:7" s="64" customFormat="1">
      <c r="A191" s="156"/>
      <c r="B191" s="1319" t="s">
        <v>109</v>
      </c>
      <c r="C191" s="50" t="s">
        <v>333</v>
      </c>
      <c r="D191" s="65">
        <f>D188+D189+D190</f>
        <v>44140822.897199996</v>
      </c>
      <c r="E191" s="50" t="s">
        <v>110</v>
      </c>
      <c r="F191" s="50"/>
      <c r="G191" s="50"/>
    </row>
    <row r="192" spans="1:7" s="64" customFormat="1">
      <c r="A192" s="39" t="s">
        <v>75</v>
      </c>
      <c r="B192" s="1320" t="s">
        <v>706</v>
      </c>
      <c r="C192" s="50"/>
      <c r="D192" s="65"/>
      <c r="E192" s="50"/>
      <c r="F192" s="50"/>
      <c r="G192" s="50"/>
    </row>
    <row r="193" spans="1:7" s="64" customFormat="1">
      <c r="A193" s="636">
        <v>1</v>
      </c>
      <c r="B193" s="1318" t="s">
        <v>378</v>
      </c>
      <c r="C193" s="50" t="str">
        <f ca="1">"T*"&amp;F193*100&amp;"%"</f>
        <v>T*6,2%</v>
      </c>
      <c r="D193" s="65">
        <f ca="1">D191*F193*G193</f>
        <v>2736731.0196263995</v>
      </c>
      <c r="E193" s="50" t="s">
        <v>101</v>
      </c>
      <c r="F193" s="319">
        <f ca="1">Ts!$N$40</f>
        <v>6.2E-2</v>
      </c>
      <c r="G193" s="50">
        <v>1</v>
      </c>
    </row>
    <row r="194" spans="1:7" s="64" customFormat="1">
      <c r="A194" s="636">
        <v>2</v>
      </c>
      <c r="B194" s="1318" t="s">
        <v>702</v>
      </c>
      <c r="C194" s="50" t="str">
        <f>IF(G194&lt;&gt;1,"T*"&amp;F194*100&amp;"%"&amp;"*"&amp;G194,"T*"&amp;F194*100&amp;"%")</f>
        <v>T*1,1%</v>
      </c>
      <c r="D194" s="65">
        <f>IF(G194&lt;&gt;1,D191*F194*G194,D191*F194)</f>
        <v>485549.05186920002</v>
      </c>
      <c r="E194" s="50" t="s">
        <v>704</v>
      </c>
      <c r="F194" s="319">
        <f>Ts!$N$44</f>
        <v>1.1000000000000001E-2</v>
      </c>
      <c r="G194" s="50">
        <v>1</v>
      </c>
    </row>
    <row r="195" spans="1:7" s="64" customFormat="1" ht="31.5">
      <c r="A195" s="636">
        <v>3</v>
      </c>
      <c r="B195" s="1318" t="s">
        <v>703</v>
      </c>
      <c r="C195" s="50" t="str">
        <f ca="1">"T*"&amp;F195*100&amp;"%"</f>
        <v>T*2%</v>
      </c>
      <c r="D195" s="65">
        <f ca="1">D191*F195</f>
        <v>882816.45794399991</v>
      </c>
      <c r="E195" s="50" t="s">
        <v>33</v>
      </c>
      <c r="F195" s="319">
        <f ca="1">Ts!$N$43</f>
        <v>0.02</v>
      </c>
      <c r="G195" s="50"/>
    </row>
    <row r="196" spans="1:7" s="64" customFormat="1">
      <c r="A196" s="636"/>
      <c r="B196" s="1319" t="s">
        <v>701</v>
      </c>
      <c r="C196" s="50" t="s">
        <v>931</v>
      </c>
      <c r="D196" s="65">
        <f ca="1">D193+D194+D195</f>
        <v>4105096.5294395993</v>
      </c>
      <c r="E196" s="50" t="s">
        <v>78</v>
      </c>
      <c r="F196" s="319"/>
      <c r="G196" s="50"/>
    </row>
    <row r="197" spans="1:7" s="64" customFormat="1">
      <c r="A197" s="62" t="s">
        <v>77</v>
      </c>
      <c r="B197" s="1320" t="s">
        <v>112</v>
      </c>
      <c r="C197" s="50" t="str">
        <f ca="1">"(T+GT)*"&amp;F197*100&amp;"%"</f>
        <v>(T+GT)*6%</v>
      </c>
      <c r="D197" s="65">
        <f ca="1">(D191+D196)*F197</f>
        <v>2894755.1655983757</v>
      </c>
      <c r="E197" s="50" t="s">
        <v>79</v>
      </c>
      <c r="F197" s="319">
        <f ca="1">Ts!$N$41</f>
        <v>0.06</v>
      </c>
      <c r="G197" s="50"/>
    </row>
    <row r="198" spans="1:7" s="64" customFormat="1">
      <c r="A198" s="63"/>
      <c r="B198" s="1088" t="s">
        <v>113</v>
      </c>
      <c r="C198" s="50" t="s">
        <v>705</v>
      </c>
      <c r="D198" s="66">
        <f ca="1">D191+D196+D197</f>
        <v>51140674.592237972</v>
      </c>
      <c r="E198" s="50" t="s">
        <v>114</v>
      </c>
      <c r="F198" s="50"/>
      <c r="G198" s="50"/>
    </row>
    <row r="199" spans="1:7" s="64" customFormat="1">
      <c r="A199" s="62" t="s">
        <v>80</v>
      </c>
      <c r="B199" s="1089" t="s">
        <v>115</v>
      </c>
      <c r="C199" s="50" t="str">
        <f>"G*"&amp;F199*100&amp;"%"</f>
        <v>G*10%</v>
      </c>
      <c r="D199" s="65">
        <f ca="1">D198*F199</f>
        <v>5114067.4592237975</v>
      </c>
      <c r="E199" s="50" t="s">
        <v>116</v>
      </c>
      <c r="F199" s="320">
        <f>Ts!$N$42</f>
        <v>0.1</v>
      </c>
      <c r="G199" s="50"/>
    </row>
    <row r="200" spans="1:7" s="64" customFormat="1" ht="18.75">
      <c r="A200" s="586"/>
      <c r="B200" s="1090" t="s">
        <v>117</v>
      </c>
      <c r="C200" s="200" t="s">
        <v>596</v>
      </c>
      <c r="D200" s="598">
        <f ca="1">D198+D199</f>
        <v>56254742.051461771</v>
      </c>
      <c r="E200" s="200" t="s">
        <v>177</v>
      </c>
      <c r="F200" s="200"/>
      <c r="G200" s="200"/>
    </row>
    <row r="201" spans="1:7" s="64" customFormat="1" ht="18.75">
      <c r="A201" s="537"/>
      <c r="B201" s="1091" t="s">
        <v>168</v>
      </c>
      <c r="C201" s="50" t="str">
        <f ca="1">"GXD*"&amp;F201*100&amp;"%"</f>
        <v>GXD*6%</v>
      </c>
      <c r="D201" s="538">
        <f ca="1">D200*F201</f>
        <v>3375284.523087706</v>
      </c>
      <c r="E201" s="539" t="s">
        <v>334</v>
      </c>
      <c r="F201" s="540">
        <f ca="1">IF(CF_TDGDD&lt;&gt;0,0,'CP Du phong'!$D$110)</f>
        <v>0.06</v>
      </c>
      <c r="G201" s="541"/>
    </row>
    <row r="202" spans="1:7" s="64" customFormat="1" ht="18.75">
      <c r="A202" s="569"/>
      <c r="B202" s="1092" t="s">
        <v>595</v>
      </c>
      <c r="C202" s="570" t="s">
        <v>1636</v>
      </c>
      <c r="D202" s="571">
        <f ca="1">D200+D201</f>
        <v>59630026.574549474</v>
      </c>
      <c r="E202" s="572" t="s">
        <v>336</v>
      </c>
      <c r="F202" s="570"/>
      <c r="G202" s="570"/>
    </row>
    <row r="203" spans="1:7" s="64" customFormat="1">
      <c r="B203" s="68"/>
      <c r="C203" s="68"/>
      <c r="D203" s="68"/>
      <c r="E203" s="68"/>
      <c r="F203" s="68"/>
      <c r="G203" s="68"/>
    </row>
    <row r="204" spans="1:7" s="64" customFormat="1" ht="22.5">
      <c r="A204" s="1325" t="s">
        <v>91</v>
      </c>
      <c r="B204" s="2"/>
      <c r="C204" s="6"/>
      <c r="D204" s="6"/>
      <c r="E204" s="6"/>
      <c r="F204" s="17"/>
      <c r="G204" s="17"/>
    </row>
    <row r="205" spans="1:7" s="64" customFormat="1" ht="18.75">
      <c r="A205" s="1019" t="str">
        <f>Ts!H4&amp;Ts!K4</f>
        <v>CÔNG TRÌNH: NHÀ 01 TẦNG, TƯỜNG CHỊU LỰC 110MM, MÁI LỢP FIBRÔXIMĂNG, KHÔNG CÓ KHU VỆ SINH KHÉP KÍN</v>
      </c>
      <c r="B205" s="6"/>
      <c r="C205" s="6"/>
      <c r="D205" s="6"/>
      <c r="E205" s="6"/>
      <c r="F205" s="179"/>
      <c r="G205" s="6"/>
    </row>
    <row r="206" spans="1:7" s="64" customFormat="1" ht="18.75">
      <c r="A206" s="1019" t="str">
        <f>"HẠNG MỤC: "&amp;'Du toan XD'!F311</f>
        <v>HẠNG MỤC: PHẦN ĐIỆN</v>
      </c>
      <c r="B206" s="6"/>
      <c r="C206" s="6"/>
      <c r="D206" s="6"/>
      <c r="E206" s="6"/>
      <c r="F206" s="179"/>
      <c r="G206" s="6"/>
    </row>
    <row r="207" spans="1:7" s="64" customFormat="1">
      <c r="A207" s="17"/>
      <c r="B207" s="17"/>
      <c r="C207" s="17"/>
      <c r="D207" s="17"/>
      <c r="E207" s="56" t="s">
        <v>310</v>
      </c>
      <c r="F207" s="56"/>
      <c r="G207" s="56"/>
    </row>
    <row r="208" spans="1:7" s="64" customFormat="1">
      <c r="A208" s="1018" t="s">
        <v>196</v>
      </c>
      <c r="B208" s="1018" t="s">
        <v>42</v>
      </c>
      <c r="C208" s="1018" t="s">
        <v>44</v>
      </c>
      <c r="D208" s="1018" t="s">
        <v>93</v>
      </c>
      <c r="E208" s="1018" t="s">
        <v>94</v>
      </c>
      <c r="F208" s="1018" t="s">
        <v>178</v>
      </c>
      <c r="G208" s="1018" t="s">
        <v>192</v>
      </c>
    </row>
    <row r="209" spans="1:7" s="64" customFormat="1">
      <c r="A209" s="58"/>
      <c r="B209" s="1087" t="s">
        <v>95</v>
      </c>
      <c r="C209" s="58"/>
      <c r="D209" s="59"/>
      <c r="E209" s="58"/>
      <c r="F209" s="58"/>
      <c r="G209" s="58"/>
    </row>
    <row r="210" spans="1:7" s="64" customFormat="1">
      <c r="A210" s="50"/>
      <c r="B210" s="60" t="s">
        <v>96</v>
      </c>
      <c r="C210" s="50"/>
      <c r="D210" s="61">
        <f>'Du toan XD'!N331+'Du toan XD'!O331</f>
        <v>6047162</v>
      </c>
      <c r="E210" s="50" t="s">
        <v>97</v>
      </c>
      <c r="F210" s="50"/>
      <c r="G210" s="50"/>
    </row>
    <row r="211" spans="1:7" s="64" customFormat="1" hidden="1">
      <c r="A211" s="50"/>
      <c r="B211" s="60" t="s">
        <v>98</v>
      </c>
      <c r="C211" s="50"/>
      <c r="D211" s="61"/>
      <c r="E211" s="50" t="s">
        <v>264</v>
      </c>
      <c r="F211" s="50"/>
      <c r="G211" s="50"/>
    </row>
    <row r="212" spans="1:7" s="64" customFormat="1">
      <c r="A212" s="50"/>
      <c r="B212" s="60" t="s">
        <v>99</v>
      </c>
      <c r="C212" s="50"/>
      <c r="D212" s="61">
        <f>'Du toan XD'!P331</f>
        <v>4901330</v>
      </c>
      <c r="E212" s="50" t="s">
        <v>195</v>
      </c>
      <c r="F212" s="50"/>
      <c r="G212" s="50"/>
    </row>
    <row r="213" spans="1:7" s="64" customFormat="1" hidden="1">
      <c r="A213" s="50"/>
      <c r="B213" s="60" t="s">
        <v>255</v>
      </c>
      <c r="C213" s="50"/>
      <c r="D213" s="61"/>
      <c r="E213" s="50" t="s">
        <v>256</v>
      </c>
      <c r="F213" s="50"/>
      <c r="G213" s="50"/>
    </row>
    <row r="214" spans="1:7" s="64" customFormat="1">
      <c r="A214" s="50"/>
      <c r="B214" s="60" t="s">
        <v>100</v>
      </c>
      <c r="C214" s="50"/>
      <c r="D214" s="61">
        <f>'Du toan XD'!Q331</f>
        <v>9512</v>
      </c>
      <c r="E214" s="50" t="s">
        <v>101</v>
      </c>
      <c r="F214" s="50"/>
      <c r="G214" s="50"/>
    </row>
    <row r="215" spans="1:7" s="64" customFormat="1" hidden="1">
      <c r="A215" s="50"/>
      <c r="B215" s="60" t="s">
        <v>102</v>
      </c>
      <c r="C215" s="50"/>
      <c r="D215" s="61"/>
      <c r="E215" s="50" t="s">
        <v>103</v>
      </c>
      <c r="F215" s="50"/>
      <c r="G215" s="50"/>
    </row>
    <row r="216" spans="1:7" s="64" customFormat="1">
      <c r="A216" s="62" t="s">
        <v>73</v>
      </c>
      <c r="B216" s="1320" t="s">
        <v>104</v>
      </c>
      <c r="C216" s="50"/>
      <c r="D216" s="61"/>
      <c r="E216" s="50"/>
      <c r="F216" s="50"/>
      <c r="G216" s="50"/>
    </row>
    <row r="217" spans="1:7" s="64" customFormat="1">
      <c r="A217" s="156">
        <v>1</v>
      </c>
      <c r="B217" s="1318" t="s">
        <v>96</v>
      </c>
      <c r="C217" s="50" t="str">
        <f>IF(F217=0,"A+CLVL",IF(D211=0,"A*"&amp;F217,"(A + CLVL) * "&amp;F217))</f>
        <v>A*1</v>
      </c>
      <c r="D217" s="61">
        <f>IF(F217=0,D210+D211,(D210+D211)*F217)</f>
        <v>6047162</v>
      </c>
      <c r="E217" s="50" t="s">
        <v>105</v>
      </c>
      <c r="F217" s="50">
        <f>ROUND(Ts!$N$37,3)</f>
        <v>1</v>
      </c>
      <c r="G217" s="50"/>
    </row>
    <row r="218" spans="1:7" s="64" customFormat="1">
      <c r="A218" s="156">
        <v>2</v>
      </c>
      <c r="B218" s="1318" t="s">
        <v>99</v>
      </c>
      <c r="C218" s="50" t="str">
        <f>IF(F218=0,"B+CLNC",IF($D$10&lt;&gt;0,IF(G218&lt;&gt;0,"B*"&amp;F218&amp;"*"&amp;G218&amp;"+CLNC","B*"&amp;F218&amp;"+CLNC"),IF(G218&lt;&gt;0,"B*"&amp;F218&amp;"*"&amp;G218,"B*"&amp;F218)))</f>
        <v>B*1</v>
      </c>
      <c r="D218" s="61">
        <f>PRODUCT(D212,F218:G218)+D213</f>
        <v>4901330</v>
      </c>
      <c r="E218" s="50" t="s">
        <v>106</v>
      </c>
      <c r="F218" s="50">
        <f>ROUND(Ts!$N$38,4)</f>
        <v>1</v>
      </c>
      <c r="G218" s="50"/>
    </row>
    <row r="219" spans="1:7" s="64" customFormat="1">
      <c r="A219" s="156">
        <v>3</v>
      </c>
      <c r="B219" s="1318" t="s">
        <v>107</v>
      </c>
      <c r="C219" s="50" t="str">
        <f>IF(F219=0,"C+CLM",IF($D$12&lt;&gt;0,IF(G219&lt;&gt;0,"C*"&amp;F219&amp;"*"&amp;G219&amp;"+CLM","C*"&amp;F219&amp;"+CLM"),IF(G219&lt;&gt;0,"C*"&amp;F219&amp;"*"&amp;G219,"C*"&amp;F219)))</f>
        <v>C*1</v>
      </c>
      <c r="D219" s="61">
        <f>PRODUCT(D214,F219:G219)+D215</f>
        <v>9512</v>
      </c>
      <c r="E219" s="50" t="s">
        <v>108</v>
      </c>
      <c r="F219" s="50">
        <f>ROUND(Ts!$N$39,4)</f>
        <v>1</v>
      </c>
      <c r="G219" s="50"/>
    </row>
    <row r="220" spans="1:7" s="64" customFormat="1">
      <c r="A220" s="156"/>
      <c r="B220" s="1319" t="s">
        <v>109</v>
      </c>
      <c r="C220" s="50" t="s">
        <v>333</v>
      </c>
      <c r="D220" s="65">
        <f>D217+D218+D219</f>
        <v>10958004</v>
      </c>
      <c r="E220" s="50" t="s">
        <v>110</v>
      </c>
      <c r="F220" s="50"/>
      <c r="G220" s="50"/>
    </row>
    <row r="221" spans="1:7" s="64" customFormat="1">
      <c r="A221" s="39" t="s">
        <v>75</v>
      </c>
      <c r="B221" s="1320" t="s">
        <v>706</v>
      </c>
      <c r="C221" s="50"/>
      <c r="D221" s="65"/>
      <c r="E221" s="50"/>
      <c r="F221" s="50"/>
      <c r="G221" s="50"/>
    </row>
    <row r="222" spans="1:7" s="64" customFormat="1">
      <c r="A222" s="636">
        <v>1</v>
      </c>
      <c r="B222" s="1318" t="s">
        <v>378</v>
      </c>
      <c r="C222" s="50" t="str">
        <f ca="1">"T*"&amp;F222*100&amp;"%"</f>
        <v>T*6,2%</v>
      </c>
      <c r="D222" s="65">
        <f ca="1">D220*F222*G222</f>
        <v>679396.24800000002</v>
      </c>
      <c r="E222" s="50" t="s">
        <v>101</v>
      </c>
      <c r="F222" s="319">
        <f ca="1">Ts!$N$40</f>
        <v>6.2E-2</v>
      </c>
      <c r="G222" s="50">
        <v>1</v>
      </c>
    </row>
    <row r="223" spans="1:7" s="64" customFormat="1">
      <c r="A223" s="636">
        <v>2</v>
      </c>
      <c r="B223" s="1318" t="s">
        <v>702</v>
      </c>
      <c r="C223" s="50" t="str">
        <f>IF(G223&lt;&gt;1,"T*"&amp;F223*100&amp;"%"&amp;"*"&amp;G223,"T*"&amp;F223*100&amp;"%")</f>
        <v>T*1,1%</v>
      </c>
      <c r="D223" s="65">
        <f>IF(G223&lt;&gt;1,D220*F223*G223,D220*F223)</f>
        <v>120538.04400000001</v>
      </c>
      <c r="E223" s="50" t="s">
        <v>704</v>
      </c>
      <c r="F223" s="319">
        <f>Ts!$N$44</f>
        <v>1.1000000000000001E-2</v>
      </c>
      <c r="G223" s="50">
        <v>1</v>
      </c>
    </row>
    <row r="224" spans="1:7" s="64" customFormat="1" ht="31.5">
      <c r="A224" s="636">
        <v>3</v>
      </c>
      <c r="B224" s="1318" t="s">
        <v>703</v>
      </c>
      <c r="C224" s="50" t="str">
        <f ca="1">"T*"&amp;F224*100&amp;"%"</f>
        <v>T*2%</v>
      </c>
      <c r="D224" s="65">
        <f ca="1">D220*F224</f>
        <v>219160.08000000002</v>
      </c>
      <c r="E224" s="50" t="s">
        <v>33</v>
      </c>
      <c r="F224" s="319">
        <f ca="1">Ts!$N$43</f>
        <v>0.02</v>
      </c>
      <c r="G224" s="50"/>
    </row>
    <row r="225" spans="1:7" s="64" customFormat="1">
      <c r="A225" s="636"/>
      <c r="B225" s="1319" t="s">
        <v>701</v>
      </c>
      <c r="C225" s="50" t="s">
        <v>931</v>
      </c>
      <c r="D225" s="65">
        <f ca="1">D222+D223+D224</f>
        <v>1019094.372</v>
      </c>
      <c r="E225" s="50" t="s">
        <v>78</v>
      </c>
      <c r="F225" s="319"/>
      <c r="G225" s="50"/>
    </row>
    <row r="226" spans="1:7" s="64" customFormat="1">
      <c r="A226" s="62" t="s">
        <v>77</v>
      </c>
      <c r="B226" s="1320" t="s">
        <v>112</v>
      </c>
      <c r="C226" s="50" t="str">
        <f ca="1">"(T+GT)*"&amp;F226*100&amp;"%"</f>
        <v>(T+GT)*6%</v>
      </c>
      <c r="D226" s="65">
        <f ca="1">(D220+D225)*F226</f>
        <v>718625.90231999999</v>
      </c>
      <c r="E226" s="50" t="s">
        <v>79</v>
      </c>
      <c r="F226" s="319">
        <f ca="1">Ts!$N$41</f>
        <v>0.06</v>
      </c>
      <c r="G226" s="50"/>
    </row>
    <row r="227" spans="1:7" s="64" customFormat="1">
      <c r="A227" s="63"/>
      <c r="B227" s="1088" t="s">
        <v>113</v>
      </c>
      <c r="C227" s="50" t="s">
        <v>705</v>
      </c>
      <c r="D227" s="66">
        <f ca="1">D220+D225+D226</f>
        <v>12695724.274319999</v>
      </c>
      <c r="E227" s="50" t="s">
        <v>114</v>
      </c>
      <c r="F227" s="50"/>
      <c r="G227" s="50"/>
    </row>
    <row r="228" spans="1:7" s="64" customFormat="1">
      <c r="A228" s="62" t="s">
        <v>80</v>
      </c>
      <c r="B228" s="1089" t="s">
        <v>115</v>
      </c>
      <c r="C228" s="50" t="str">
        <f>"G*"&amp;F228*100&amp;"%"</f>
        <v>G*10%</v>
      </c>
      <c r="D228" s="65">
        <f ca="1">D227*F228</f>
        <v>1269572.4274319999</v>
      </c>
      <c r="E228" s="50" t="s">
        <v>116</v>
      </c>
      <c r="F228" s="320">
        <f>Ts!$N$42</f>
        <v>0.1</v>
      </c>
      <c r="G228" s="50"/>
    </row>
    <row r="229" spans="1:7" s="64" customFormat="1" ht="18.75">
      <c r="A229" s="586"/>
      <c r="B229" s="1090" t="s">
        <v>117</v>
      </c>
      <c r="C229" s="200" t="s">
        <v>596</v>
      </c>
      <c r="D229" s="598">
        <f ca="1">D227+D228</f>
        <v>13965296.701752</v>
      </c>
      <c r="E229" s="200" t="s">
        <v>177</v>
      </c>
      <c r="F229" s="200"/>
      <c r="G229" s="200"/>
    </row>
    <row r="230" spans="1:7" s="64" customFormat="1" ht="18.75">
      <c r="A230" s="537"/>
      <c r="B230" s="1091" t="s">
        <v>168</v>
      </c>
      <c r="C230" s="50" t="str">
        <f ca="1">"GXD*"&amp;F230*100&amp;"%"</f>
        <v>GXD*6%</v>
      </c>
      <c r="D230" s="538">
        <f ca="1">D229*F230</f>
        <v>837917.80210511992</v>
      </c>
      <c r="E230" s="539" t="s">
        <v>334</v>
      </c>
      <c r="F230" s="540">
        <f ca="1">IF(CF_TDGDD&lt;&gt;0,0,'CP Du phong'!$D$110)</f>
        <v>0.06</v>
      </c>
      <c r="G230" s="541"/>
    </row>
    <row r="231" spans="1:7" s="64" customFormat="1" ht="18.75">
      <c r="A231" s="569"/>
      <c r="B231" s="1092" t="s">
        <v>595</v>
      </c>
      <c r="C231" s="570" t="s">
        <v>1636</v>
      </c>
      <c r="D231" s="571">
        <f ca="1">D229+D230</f>
        <v>14803214.503857119</v>
      </c>
      <c r="E231" s="572" t="s">
        <v>336</v>
      </c>
      <c r="F231" s="570"/>
      <c r="G231" s="570"/>
    </row>
    <row r="232" spans="1:7" s="64" customFormat="1">
      <c r="B232" s="68"/>
      <c r="C232" s="68"/>
      <c r="D232" s="68"/>
      <c r="E232" s="68"/>
      <c r="F232" s="68"/>
      <c r="G232" s="68"/>
    </row>
    <row r="233" spans="1:7">
      <c r="A233" s="68"/>
      <c r="B233" s="1252"/>
      <c r="C233" s="213"/>
      <c r="D233" s="213"/>
      <c r="E233" s="213"/>
    </row>
    <row r="234" spans="1:7" ht="18" customHeight="1">
      <c r="A234" s="69"/>
      <c r="B234" s="664" t="s">
        <v>51</v>
      </c>
      <c r="C234" s="664" t="s">
        <v>52</v>
      </c>
      <c r="D234" s="72"/>
      <c r="E234" s="1316"/>
      <c r="F234" s="73"/>
      <c r="G234" s="73"/>
    </row>
    <row r="235" spans="1:7" customFormat="1" ht="13.9" customHeight="1">
      <c r="A235" s="69"/>
      <c r="B235" s="70"/>
      <c r="C235" s="71"/>
      <c r="D235" s="72"/>
      <c r="E235" s="73"/>
      <c r="F235" s="73"/>
      <c r="G235" s="73"/>
    </row>
    <row r="236" spans="1:7" customFormat="1" ht="15" customHeight="1">
      <c r="A236" s="68"/>
      <c r="B236" s="68"/>
      <c r="C236" s="71"/>
      <c r="D236" s="68"/>
      <c r="E236" s="68"/>
      <c r="F236" s="68"/>
      <c r="G236" s="68"/>
    </row>
    <row r="237" spans="1:7" customFormat="1" ht="18" customHeight="1">
      <c r="A237" s="68"/>
      <c r="B237" s="68"/>
      <c r="C237" s="71"/>
      <c r="D237" s="68"/>
      <c r="E237" s="68"/>
      <c r="F237" s="68"/>
      <c r="G237" s="68"/>
    </row>
    <row r="238" spans="1:7">
      <c r="A238" s="68"/>
      <c r="B238" s="74"/>
      <c r="C238" s="75" t="s">
        <v>335</v>
      </c>
      <c r="D238" s="72"/>
      <c r="E238" s="72"/>
      <c r="F238" s="68"/>
      <c r="G238" s="72"/>
    </row>
    <row r="240" spans="1:7" ht="22.5">
      <c r="A240" s="457" t="s">
        <v>91</v>
      </c>
      <c r="B240" s="2"/>
      <c r="C240" s="6"/>
      <c r="D240" s="6"/>
      <c r="E240" s="6"/>
      <c r="F240" s="236" t="s">
        <v>932</v>
      </c>
    </row>
    <row r="241" spans="1:5" ht="18.75">
      <c r="A241"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41" s="6"/>
      <c r="C241" s="6"/>
      <c r="D241" s="6"/>
      <c r="E241" s="6"/>
    </row>
    <row r="242" spans="1:5" ht="18.75">
      <c r="A242" s="1019" t="str">
        <f>'Bia-Dutoan'!D43&amp;'Bia-Dutoan'!E43</f>
        <v>CÔNG TRÌNH: NHÀ 01 TẦNG, TƯỜNG CHỊU LỰC 110MM, MÁI LỢP FIBRÔXIMĂNG, KHÔNG CÓ KHU VỆ SINH KHÉP KÍN</v>
      </c>
      <c r="B242" s="6"/>
      <c r="C242" s="6"/>
      <c r="D242" s="6"/>
      <c r="E242" s="6"/>
    </row>
    <row r="243" spans="1:5">
      <c r="E243" s="56" t="s">
        <v>310</v>
      </c>
    </row>
    <row r="244" spans="1:5">
      <c r="A244" s="1018" t="s">
        <v>196</v>
      </c>
      <c r="B244" s="1018" t="s">
        <v>42</v>
      </c>
      <c r="C244" s="1018" t="s">
        <v>44</v>
      </c>
      <c r="D244" s="1018" t="s">
        <v>93</v>
      </c>
      <c r="E244" s="1018" t="s">
        <v>94</v>
      </c>
    </row>
    <row r="245" spans="1:5">
      <c r="A245" s="62" t="s">
        <v>73</v>
      </c>
      <c r="B245" s="1088" t="s">
        <v>104</v>
      </c>
      <c r="C245" s="50"/>
      <c r="D245" s="61"/>
      <c r="E245" s="50"/>
    </row>
    <row r="246" spans="1:5">
      <c r="A246" s="156">
        <v>1</v>
      </c>
      <c r="B246" s="60" t="s">
        <v>96</v>
      </c>
      <c r="C246" s="50"/>
      <c r="D246" s="61">
        <f>D14+D43+D72+D101+D130+D159+D188+D217</f>
        <v>197272425.49319997</v>
      </c>
      <c r="E246" s="50" t="s">
        <v>105</v>
      </c>
    </row>
    <row r="247" spans="1:5" hidden="1">
      <c r="A247" s="156">
        <v>2</v>
      </c>
      <c r="B247" s="60" t="s">
        <v>99</v>
      </c>
      <c r="C247" s="50"/>
      <c r="D247" s="61">
        <f>D15+D44+D73+D102+D131+D160+D189+D218</f>
        <v>98192068.176331997</v>
      </c>
      <c r="E247" s="50" t="s">
        <v>106</v>
      </c>
    </row>
    <row r="248" spans="1:5">
      <c r="A248" s="156">
        <v>3</v>
      </c>
      <c r="B248" s="60" t="s">
        <v>107</v>
      </c>
      <c r="C248" s="50"/>
      <c r="D248" s="61">
        <f>D16+D45+D74+D103+D132+D161+D190+D219</f>
        <v>1479323.0494744</v>
      </c>
      <c r="E248" s="50" t="s">
        <v>108</v>
      </c>
    </row>
    <row r="249" spans="1:5" hidden="1">
      <c r="A249" s="156"/>
      <c r="B249" s="1088" t="s">
        <v>109</v>
      </c>
      <c r="C249" s="50" t="s">
        <v>333</v>
      </c>
      <c r="D249" s="65">
        <f>D17+D46+D75+D104+D133+D162+D191+D220</f>
        <v>296943816.71900636</v>
      </c>
      <c r="E249" s="50" t="s">
        <v>110</v>
      </c>
    </row>
    <row r="250" spans="1:5">
      <c r="A250" s="39" t="s">
        <v>75</v>
      </c>
      <c r="B250" s="1088" t="s">
        <v>706</v>
      </c>
      <c r="C250" s="50"/>
      <c r="D250" s="65">
        <f t="shared" ref="D250" si="0">D18</f>
        <v>0</v>
      </c>
      <c r="E250" s="50"/>
    </row>
    <row r="251" spans="1:5" hidden="1">
      <c r="A251" s="636">
        <v>1</v>
      </c>
      <c r="B251" s="60" t="s">
        <v>378</v>
      </c>
      <c r="C251" s="50" t="str">
        <f ca="1">"T*"&amp;F19*100&amp;"%"&amp;IF(G19&lt;&gt;1,"*"&amp;G19,)</f>
        <v>T*6,2%</v>
      </c>
      <c r="D251" s="65">
        <f t="shared" ref="D251:D260" ca="1" si="1">D19+D48+D77+D106+D135+D164+D193+D222</f>
        <v>18410516.6365784</v>
      </c>
      <c r="E251" s="50" t="s">
        <v>101</v>
      </c>
    </row>
    <row r="252" spans="1:5">
      <c r="A252" s="636">
        <v>2</v>
      </c>
      <c r="B252" s="60" t="s">
        <v>702</v>
      </c>
      <c r="C252" s="50" t="str">
        <f>"T*"&amp;F20*100&amp;"%"&amp;IF(G20&lt;&gt;1,"*"&amp;G20,)</f>
        <v>T*1,1%</v>
      </c>
      <c r="D252" s="65">
        <f t="shared" si="1"/>
        <v>3266381.9839090705</v>
      </c>
      <c r="E252" s="50" t="s">
        <v>704</v>
      </c>
    </row>
    <row r="253" spans="1:5" ht="31.5">
      <c r="A253" s="636">
        <v>3</v>
      </c>
      <c r="B253" s="60" t="s">
        <v>703</v>
      </c>
      <c r="C253" s="50" t="str">
        <f ca="1">"T*"&amp;F21*100&amp;"%"</f>
        <v>T*2%</v>
      </c>
      <c r="D253" s="65">
        <f t="shared" ca="1" si="1"/>
        <v>5938876.3343801275</v>
      </c>
      <c r="E253" s="50" t="s">
        <v>33</v>
      </c>
    </row>
    <row r="254" spans="1:5">
      <c r="A254" s="636"/>
      <c r="B254" s="1088" t="s">
        <v>701</v>
      </c>
      <c r="C254" s="50" t="s">
        <v>931</v>
      </c>
      <c r="D254" s="65">
        <f t="shared" ca="1" si="1"/>
        <v>27615774.954867594</v>
      </c>
      <c r="E254" s="50" t="s">
        <v>78</v>
      </c>
    </row>
    <row r="255" spans="1:5">
      <c r="A255" s="62" t="s">
        <v>77</v>
      </c>
      <c r="B255" s="1088" t="s">
        <v>112</v>
      </c>
      <c r="C255" s="50" t="str">
        <f ca="1">"(T+GT)*"&amp;F23*100&amp;"%"</f>
        <v>(T+GT)*6%</v>
      </c>
      <c r="D255" s="65">
        <f t="shared" ca="1" si="1"/>
        <v>19473575.500432443</v>
      </c>
      <c r="E255" s="50" t="s">
        <v>79</v>
      </c>
    </row>
    <row r="256" spans="1:5">
      <c r="A256" s="63"/>
      <c r="B256" s="1088" t="s">
        <v>113</v>
      </c>
      <c r="C256" s="50" t="s">
        <v>705</v>
      </c>
      <c r="D256" s="66">
        <f t="shared" ca="1" si="1"/>
        <v>344033167.17430645</v>
      </c>
      <c r="E256" s="50" t="s">
        <v>114</v>
      </c>
    </row>
    <row r="257" spans="1:5">
      <c r="A257" s="62" t="s">
        <v>80</v>
      </c>
      <c r="B257" s="1089" t="s">
        <v>115</v>
      </c>
      <c r="C257" s="50" t="str">
        <f>"G*"&amp;F25*100&amp;"%"</f>
        <v>G*10%</v>
      </c>
      <c r="D257" s="65">
        <f t="shared" ca="1" si="1"/>
        <v>34403316.717430644</v>
      </c>
      <c r="E257" s="50" t="s">
        <v>116</v>
      </c>
    </row>
    <row r="258" spans="1:5" ht="18.75">
      <c r="A258" s="586"/>
      <c r="B258" s="1090" t="s">
        <v>117</v>
      </c>
      <c r="C258" s="200" t="s">
        <v>596</v>
      </c>
      <c r="D258" s="598">
        <f t="shared" ca="1" si="1"/>
        <v>378436483.8917371</v>
      </c>
      <c r="E258" s="200" t="s">
        <v>177</v>
      </c>
    </row>
    <row r="259" spans="1:5" ht="18.75">
      <c r="A259" s="537"/>
      <c r="B259" s="1091" t="s">
        <v>168</v>
      </c>
      <c r="C259" s="50" t="str">
        <f ca="1">"GXD*"&amp;F27*100&amp;"%"</f>
        <v>GXD*6%</v>
      </c>
      <c r="D259" s="538">
        <f t="shared" ca="1" si="1"/>
        <v>22706189.033504225</v>
      </c>
      <c r="E259" s="539" t="s">
        <v>334</v>
      </c>
    </row>
    <row r="260" spans="1:5" ht="18.75">
      <c r="A260" s="569"/>
      <c r="B260" s="1092" t="s">
        <v>595</v>
      </c>
      <c r="C260" s="570" t="s">
        <v>594</v>
      </c>
      <c r="D260" s="571">
        <f t="shared" ca="1" si="1"/>
        <v>401142672.92524135</v>
      </c>
      <c r="E260" s="572" t="s">
        <v>336</v>
      </c>
    </row>
    <row r="261" spans="1:5">
      <c r="A261" s="64"/>
      <c r="B261" s="68"/>
      <c r="C261" s="68"/>
      <c r="D261" s="68"/>
      <c r="E261" s="68"/>
    </row>
    <row r="262" spans="1:5">
      <c r="A262" s="68"/>
      <c r="B262" s="213"/>
      <c r="C262" s="213"/>
      <c r="D262" s="213"/>
      <c r="E262" s="213"/>
    </row>
    <row r="263" spans="1:5">
      <c r="A263" s="69"/>
      <c r="B263" s="70" t="s">
        <v>51</v>
      </c>
      <c r="C263" s="71" t="s">
        <v>52</v>
      </c>
      <c r="D263" s="72"/>
      <c r="E263" s="73"/>
    </row>
    <row r="264" spans="1:5">
      <c r="A264" s="69"/>
      <c r="B264" s="70"/>
      <c r="C264" s="71"/>
      <c r="D264" s="72"/>
      <c r="E264" s="73"/>
    </row>
    <row r="265" spans="1:5">
      <c r="A265" s="68"/>
      <c r="B265" s="68"/>
      <c r="C265" s="71"/>
      <c r="D265" s="68"/>
      <c r="E265" s="68"/>
    </row>
    <row r="266" spans="1:5">
      <c r="A266" s="68"/>
      <c r="B266" s="68"/>
      <c r="C266" s="71"/>
      <c r="D266" s="68"/>
      <c r="E266" s="68"/>
    </row>
    <row r="267" spans="1:5">
      <c r="A267" s="68"/>
      <c r="B267" s="74"/>
      <c r="C267" s="75" t="s">
        <v>335</v>
      </c>
      <c r="E267" s="72"/>
    </row>
    <row r="268" spans="1:5">
      <c r="A268" s="1254" t="s">
        <v>933</v>
      </c>
    </row>
  </sheetData>
  <phoneticPr fontId="60" type="noConversion"/>
  <hyperlinks>
    <hyperlink ref="C234" r:id="rId1" location="dieu-72-chung-chi-hanh-nghe-dinh-gia-xay-dung"/>
    <hyperlink ref="B14" r:id="rId2" location="_1-2-1-xac-dinh-chi-phi-vat-lieu-vl"/>
    <hyperlink ref="B15" r:id="rId3" location="_1-2-2-xac-dinh-chi-phi-nhan-cong-nc"/>
    <hyperlink ref="B16" r:id="rId4" location="_1-2-3-xac-dinh-chi-phi-may-thi-cong-mtc"/>
    <hyperlink ref="B13" r:id="rId5" location="i-xac-dinh-chi-phi-truc-tiep"/>
    <hyperlink ref="B18" r:id="rId6" location="ii-xac-dinh-chi-phi-gian-tiep"/>
    <hyperlink ref="B19" r:id="rId7" location="_1-chi-phi-chung"/>
    <hyperlink ref="B20" r:id="rId8" location="_2-chi-phi-nha-tam-de-o-va-dieu-hanh-thi-cong"/>
    <hyperlink ref="B21" r:id="rId9" location="_3-chi-phi-mot-so-cong-viec-khong-xac-dinh-duoc-khoi-luong-tu-thiet-ke"/>
    <hyperlink ref="B23" r:id="rId10" location="iii-thu-nhap-chiu-thue-tinh-truoc"/>
    <hyperlink ref="A1" r:id="rId11" location="bang-3-6-tong-hop-du-toan-chi-phi-xay-dung"/>
    <hyperlink ref="B43" r:id="rId12" location="_1-2-1-xac-dinh-chi-phi-vat-lieu-vl"/>
    <hyperlink ref="B44" r:id="rId13" location="_1-2-2-xac-dinh-chi-phi-nhan-cong-nc"/>
    <hyperlink ref="B45" r:id="rId14" location="_1-2-3-xac-dinh-chi-phi-may-thi-cong-mtc"/>
    <hyperlink ref="B42" r:id="rId15" location="i-xac-dinh-chi-phi-truc-tiep"/>
    <hyperlink ref="B47" r:id="rId16" location="ii-xac-dinh-chi-phi-gian-tiep"/>
    <hyperlink ref="B48" r:id="rId17" location="_1-chi-phi-chung"/>
    <hyperlink ref="B49" r:id="rId18" location="_2-chi-phi-nha-tam-de-o-va-dieu-hanh-thi-cong"/>
    <hyperlink ref="B50" r:id="rId19" location="_3-chi-phi-mot-so-cong-viec-khong-xac-dinh-duoc-khoi-luong-tu-thiet-ke"/>
    <hyperlink ref="B52" r:id="rId20" location="iii-thu-nhap-chiu-thue-tinh-truoc"/>
    <hyperlink ref="A30" r:id="rId21" location="bang-3-6-tong-hop-du-toan-chi-phi-xay-dung"/>
    <hyperlink ref="B72" r:id="rId22" location="_1-2-1-xac-dinh-chi-phi-vat-lieu-vl"/>
    <hyperlink ref="B73" r:id="rId23" location="_1-2-2-xac-dinh-chi-phi-nhan-cong-nc"/>
    <hyperlink ref="B74" r:id="rId24" location="_1-2-3-xac-dinh-chi-phi-may-thi-cong-mtc"/>
    <hyperlink ref="B71" r:id="rId25" location="i-xac-dinh-chi-phi-truc-tiep"/>
    <hyperlink ref="B76" r:id="rId26" location="ii-xac-dinh-chi-phi-gian-tiep"/>
    <hyperlink ref="B77" r:id="rId27" location="_1-chi-phi-chung"/>
    <hyperlink ref="B78" r:id="rId28" location="_2-chi-phi-nha-tam-de-o-va-dieu-hanh-thi-cong"/>
    <hyperlink ref="B79" r:id="rId29" location="_3-chi-phi-mot-so-cong-viec-khong-xac-dinh-duoc-khoi-luong-tu-thiet-ke"/>
    <hyperlink ref="B81" r:id="rId30" location="iii-thu-nhap-chiu-thue-tinh-truoc"/>
    <hyperlink ref="A59" r:id="rId31" location="bang-3-6-tong-hop-du-toan-chi-phi-xay-dung"/>
    <hyperlink ref="B130" r:id="rId32" location="_1-2-1-xac-dinh-chi-phi-vat-lieu-vl"/>
    <hyperlink ref="B131" r:id="rId33" location="_1-2-2-xac-dinh-chi-phi-nhan-cong-nc"/>
    <hyperlink ref="B132" r:id="rId34" location="_1-2-3-xac-dinh-chi-phi-may-thi-cong-mtc"/>
    <hyperlink ref="B129" r:id="rId35" location="i-xac-dinh-chi-phi-truc-tiep"/>
    <hyperlink ref="B134" r:id="rId36" location="ii-xac-dinh-chi-phi-gian-tiep"/>
    <hyperlink ref="B135" r:id="rId37" location="_1-chi-phi-chung"/>
    <hyperlink ref="B136" r:id="rId38" location="_2-chi-phi-nha-tam-de-o-va-dieu-hanh-thi-cong"/>
    <hyperlink ref="B137" r:id="rId39" location="_3-chi-phi-mot-so-cong-viec-khong-xac-dinh-duoc-khoi-luong-tu-thiet-ke"/>
    <hyperlink ref="B139" r:id="rId40" location="iii-thu-nhap-chiu-thue-tinh-truoc"/>
    <hyperlink ref="A117" r:id="rId41" location="bang-3-6-tong-hop-du-toan-chi-phi-xay-dung"/>
    <hyperlink ref="B159" r:id="rId42" location="_1-2-1-xac-dinh-chi-phi-vat-lieu-vl"/>
    <hyperlink ref="B160" r:id="rId43" location="_1-2-2-xac-dinh-chi-phi-nhan-cong-nc"/>
    <hyperlink ref="B161" r:id="rId44" location="_1-2-3-xac-dinh-chi-phi-may-thi-cong-mtc"/>
    <hyperlink ref="B158" r:id="rId45" location="i-xac-dinh-chi-phi-truc-tiep"/>
    <hyperlink ref="B163" r:id="rId46" location="ii-xac-dinh-chi-phi-gian-tiep"/>
    <hyperlink ref="B164" r:id="rId47" location="_1-chi-phi-chung"/>
    <hyperlink ref="B165" r:id="rId48" location="_2-chi-phi-nha-tam-de-o-va-dieu-hanh-thi-cong"/>
    <hyperlink ref="B166" r:id="rId49" location="_3-chi-phi-mot-so-cong-viec-khong-xac-dinh-duoc-khoi-luong-tu-thiet-ke"/>
    <hyperlink ref="B168" r:id="rId50" location="iii-thu-nhap-chiu-thue-tinh-truoc"/>
    <hyperlink ref="A146" r:id="rId51" location="bang-3-6-tong-hop-du-toan-chi-phi-xay-dung"/>
    <hyperlink ref="B188" r:id="rId52" location="_1-2-1-xac-dinh-chi-phi-vat-lieu-vl"/>
    <hyperlink ref="B189" r:id="rId53" location="_1-2-2-xac-dinh-chi-phi-nhan-cong-nc"/>
    <hyperlink ref="B190" r:id="rId54" location="_1-2-3-xac-dinh-chi-phi-may-thi-cong-mtc"/>
    <hyperlink ref="B187" r:id="rId55" location="i-xac-dinh-chi-phi-truc-tiep"/>
    <hyperlink ref="B192" r:id="rId56" location="ii-xac-dinh-chi-phi-gian-tiep"/>
    <hyperlink ref="B193" r:id="rId57" location="_1-chi-phi-chung"/>
    <hyperlink ref="B194" r:id="rId58" location="_2-chi-phi-nha-tam-de-o-va-dieu-hanh-thi-cong"/>
    <hyperlink ref="B195" r:id="rId59" location="_3-chi-phi-mot-so-cong-viec-khong-xac-dinh-duoc-khoi-luong-tu-thiet-ke"/>
    <hyperlink ref="B197" r:id="rId60" location="iii-thu-nhap-chiu-thue-tinh-truoc"/>
    <hyperlink ref="A175" r:id="rId61" location="bang-3-6-tong-hop-du-toan-chi-phi-xay-dung"/>
    <hyperlink ref="B217" r:id="rId62" location="_1-2-1-xac-dinh-chi-phi-vat-lieu-vl"/>
    <hyperlink ref="B218" r:id="rId63" location="_1-2-2-xac-dinh-chi-phi-nhan-cong-nc"/>
    <hyperlink ref="B219" r:id="rId64" location="_1-2-3-xac-dinh-chi-phi-may-thi-cong-mtc"/>
    <hyperlink ref="B216" r:id="rId65" location="i-xac-dinh-chi-phi-truc-tiep"/>
    <hyperlink ref="B221" r:id="rId66" location="ii-xac-dinh-chi-phi-gian-tiep"/>
    <hyperlink ref="B222" r:id="rId67" location="_1-chi-phi-chung"/>
    <hyperlink ref="B223" r:id="rId68" location="_2-chi-phi-nha-tam-de-o-va-dieu-hanh-thi-cong"/>
    <hyperlink ref="B224" r:id="rId69" location="_3-chi-phi-mot-so-cong-viec-khong-xac-dinh-duoc-khoi-luong-tu-thiet-ke"/>
    <hyperlink ref="B226" r:id="rId70" location="iii-thu-nhap-chiu-thue-tinh-truoc"/>
    <hyperlink ref="A204" r:id="rId71" location="bang-3-6-tong-hop-du-toan-chi-phi-xay-dung"/>
    <hyperlink ref="B101" r:id="rId72" location="_1-2-1-xac-dinh-chi-phi-vat-lieu-vl"/>
    <hyperlink ref="B102" r:id="rId73" location="_1-2-2-xac-dinh-chi-phi-nhan-cong-nc"/>
    <hyperlink ref="B103" r:id="rId74" location="_1-2-3-xac-dinh-chi-phi-may-thi-cong-mtc"/>
    <hyperlink ref="B100" r:id="rId75" location="i-xac-dinh-chi-phi-truc-tiep"/>
    <hyperlink ref="B105" r:id="rId76" location="ii-xac-dinh-chi-phi-gian-tiep"/>
    <hyperlink ref="B106" r:id="rId77" location="_1-chi-phi-chung"/>
    <hyperlink ref="B107" r:id="rId78" location="_2-chi-phi-nha-tam-de-o-va-dieu-hanh-thi-cong"/>
    <hyperlink ref="B108" r:id="rId79" location="_3-chi-phi-mot-so-cong-viec-khong-xac-dinh-duoc-khoi-luong-tu-thiet-ke"/>
    <hyperlink ref="B110" r:id="rId80" location="iii-thu-nhap-chiu-thue-tinh-truoc"/>
    <hyperlink ref="A88" r:id="rId81" location="bang-3-6-tong-hop-du-toan-chi-phi-xay-dung"/>
  </hyperlinks>
  <printOptions horizontalCentered="1"/>
  <pageMargins left="0.75" right="0.25" top="0.5" bottom="0.5" header="0.25" footer="0.23622047244094499"/>
  <pageSetup paperSize="9" orientation="landscape" blackAndWhite="1" horizontalDpi="300" verticalDpi="300" r:id="rId82"/>
  <headerFooter>
    <oddFooter>&amp;C&amp;P</oddFooter>
  </headerFooter>
  <rowBreaks count="7" manualBreakCount="7">
    <brk id="29" max="4" man="1"/>
    <brk id="58" max="4" man="1"/>
    <brk id="87" max="4" man="1"/>
    <brk id="116" max="4" man="1"/>
    <brk id="145" max="4" man="1"/>
    <brk id="174" max="4" man="1"/>
    <brk id="203" max="4" man="1"/>
  </rowBreaks>
  <ignoredErrors>
    <ignoredError sqref="A2 A241:A242" unlockedFormula="1"/>
    <ignoredError sqref="D26:D27" formula="1"/>
  </ignoredErrors>
  <legacyDrawing r:id="rId8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GTH2">
    <tabColor rgb="FFFFFF00"/>
  </sheetPr>
  <dimension ref="A1:Z17"/>
  <sheetViews>
    <sheetView showZeros="0" topLeftCell="B1" zoomScaleSheetLayoutView="100" workbookViewId="0">
      <selection activeCell="F7" sqref="F7"/>
    </sheetView>
  </sheetViews>
  <sheetFormatPr defaultColWidth="9.140625" defaultRowHeight="15"/>
  <cols>
    <col min="1" max="1" width="3.5703125" hidden="1" customWidth="1"/>
    <col min="2" max="2" width="3.5703125" customWidth="1"/>
    <col min="3" max="3" width="5" customWidth="1"/>
    <col min="4" max="4" width="7.42578125" hidden="1" customWidth="1"/>
    <col min="5" max="5" width="10.42578125" style="362" hidden="1" customWidth="1"/>
    <col min="6" max="6" width="11.5703125" customWidth="1"/>
    <col min="7" max="7" width="8.140625" customWidth="1"/>
    <col min="8" max="8" width="32.5703125" style="599" customWidth="1"/>
    <col min="9" max="9" width="7" customWidth="1"/>
    <col min="10" max="10" width="9.5703125" style="789" customWidth="1"/>
    <col min="11" max="11" width="15.42578125" style="614" customWidth="1"/>
    <col min="12" max="12" width="10.42578125" style="178" customWidth="1"/>
    <col min="13" max="13" width="5.85546875" style="155" customWidth="1"/>
    <col min="14" max="14" width="12.5703125" style="155" customWidth="1" collapsed="1"/>
    <col min="15" max="15" width="11.5703125" style="155" hidden="1" customWidth="1"/>
    <col min="16" max="17" width="12.5703125" style="155" customWidth="1"/>
    <col min="18" max="18" width="12.140625" style="778" customWidth="1"/>
    <col min="19" max="20" width="10.42578125" style="498" hidden="1" customWidth="1"/>
    <col min="21" max="21" width="12.140625" style="498" hidden="1" customWidth="1"/>
    <col min="22" max="22" width="10.42578125" style="498" hidden="1" customWidth="1"/>
    <col min="23" max="23" width="12.140625" style="498" hidden="1" customWidth="1"/>
    <col min="24" max="24" width="10.42578125" style="498" hidden="1" customWidth="1"/>
    <col min="25" max="25" width="12.42578125" style="498" hidden="1" customWidth="1"/>
    <col min="26" max="26" width="10.42578125" style="155" customWidth="1"/>
  </cols>
  <sheetData>
    <row r="1" spans="3:26" ht="24.75" customHeight="1">
      <c r="C1" s="449" t="s">
        <v>391</v>
      </c>
      <c r="D1" s="303"/>
      <c r="E1" s="458"/>
      <c r="F1" s="303"/>
      <c r="G1" s="303"/>
      <c r="H1" s="626"/>
      <c r="I1" s="303"/>
      <c r="J1" s="303"/>
      <c r="K1" s="610"/>
      <c r="L1" s="620"/>
      <c r="M1" s="303"/>
      <c r="N1" s="303"/>
      <c r="O1" s="303"/>
      <c r="P1" s="303"/>
      <c r="Q1" s="303"/>
      <c r="R1" s="772"/>
      <c r="S1" s="621"/>
      <c r="T1" s="621"/>
      <c r="U1" s="621"/>
      <c r="V1" s="621"/>
      <c r="W1" s="621"/>
      <c r="X1" s="621"/>
      <c r="Y1" s="621"/>
    </row>
    <row r="2" spans="3:26" ht="22.15" customHeight="1">
      <c r="C2" s="8" t="str">
        <f xml:space="preserve"> "HẠNG MỤC CÔNG VIỆC: "&amp;H10</f>
        <v>HẠNG MỤC CÔNG VIỆC: Công tác tổng hợp 1</v>
      </c>
      <c r="D2" s="113"/>
      <c r="E2" s="459"/>
      <c r="F2" s="304"/>
      <c r="G2" s="113"/>
      <c r="H2" s="627"/>
      <c r="I2" s="304"/>
      <c r="J2" s="304"/>
      <c r="K2" s="611"/>
      <c r="L2" s="621"/>
      <c r="M2" s="304"/>
      <c r="N2" s="304"/>
      <c r="O2" s="304"/>
      <c r="P2" s="304"/>
      <c r="Q2" s="304"/>
      <c r="R2" s="772"/>
      <c r="S2" s="621"/>
      <c r="T2" s="621"/>
      <c r="U2" s="621"/>
      <c r="V2" s="621"/>
      <c r="W2" s="621"/>
      <c r="X2" s="621"/>
      <c r="Y2" s="621"/>
    </row>
    <row r="3" spans="3:26" ht="18.75">
      <c r="C3" s="113"/>
      <c r="D3" s="113"/>
      <c r="E3" s="459"/>
      <c r="F3" s="304"/>
      <c r="G3" s="113"/>
      <c r="H3" s="627"/>
      <c r="I3" s="304"/>
      <c r="J3" s="304"/>
      <c r="K3" s="611"/>
      <c r="L3" s="621"/>
      <c r="M3" s="304"/>
      <c r="N3" s="304"/>
      <c r="O3" s="304"/>
      <c r="P3" s="304"/>
      <c r="Q3" s="304"/>
      <c r="R3" s="772"/>
      <c r="S3" s="621"/>
      <c r="T3" s="621"/>
      <c r="U3" s="621"/>
      <c r="V3" s="621"/>
      <c r="W3" s="621"/>
      <c r="X3" s="621"/>
      <c r="Y3" s="621"/>
    </row>
    <row r="4" spans="3:26" s="568" customFormat="1" ht="17.25" customHeight="1">
      <c r="C4" s="2519" t="s">
        <v>196</v>
      </c>
      <c r="D4" s="2522" t="s">
        <v>145</v>
      </c>
      <c r="E4" s="2523" t="s">
        <v>392</v>
      </c>
      <c r="F4" s="2519" t="s">
        <v>393</v>
      </c>
      <c r="G4" s="2519" t="s">
        <v>135</v>
      </c>
      <c r="H4" s="2519" t="s">
        <v>394</v>
      </c>
      <c r="I4" s="2519" t="s">
        <v>122</v>
      </c>
      <c r="J4" s="2519" t="s">
        <v>136</v>
      </c>
      <c r="K4" s="2520" t="s">
        <v>395</v>
      </c>
      <c r="L4" s="2521" t="s">
        <v>396</v>
      </c>
      <c r="M4" s="2519" t="s">
        <v>127</v>
      </c>
      <c r="N4" s="1050" t="s">
        <v>1033</v>
      </c>
      <c r="O4" s="1050"/>
      <c r="P4" s="1050"/>
      <c r="Q4" s="1050"/>
      <c r="R4" s="2524" t="s">
        <v>118</v>
      </c>
      <c r="S4" s="2525" t="s">
        <v>111</v>
      </c>
      <c r="T4" s="2525" t="s">
        <v>397</v>
      </c>
      <c r="U4" s="2525" t="s">
        <v>398</v>
      </c>
      <c r="V4" s="2525" t="s">
        <v>46</v>
      </c>
      <c r="W4" s="2525" t="s">
        <v>399</v>
      </c>
      <c r="X4" s="2525" t="s">
        <v>400</v>
      </c>
      <c r="Y4" s="2525" t="s">
        <v>603</v>
      </c>
      <c r="Z4" s="770"/>
    </row>
    <row r="5" spans="3:26" s="568" customFormat="1" ht="17.25" customHeight="1">
      <c r="C5" s="2519"/>
      <c r="D5" s="2522"/>
      <c r="E5" s="2523"/>
      <c r="F5" s="2519"/>
      <c r="G5" s="2519"/>
      <c r="H5" s="2519"/>
      <c r="I5" s="2519"/>
      <c r="J5" s="2519"/>
      <c r="K5" s="2520"/>
      <c r="L5" s="2521"/>
      <c r="M5" s="2519"/>
      <c r="N5" s="1051" t="s">
        <v>224</v>
      </c>
      <c r="O5" s="1051" t="s">
        <v>229</v>
      </c>
      <c r="P5" s="1051" t="s">
        <v>225</v>
      </c>
      <c r="Q5" s="1051" t="s">
        <v>401</v>
      </c>
      <c r="R5" s="2524"/>
      <c r="S5" s="2525"/>
      <c r="T5" s="2525"/>
      <c r="U5" s="2525"/>
      <c r="V5" s="2525"/>
      <c r="W5" s="2525"/>
      <c r="X5" s="2525"/>
      <c r="Y5" s="2525"/>
      <c r="Z5" s="770"/>
    </row>
    <row r="6" spans="3:26" s="26" customFormat="1">
      <c r="C6" s="550" t="s">
        <v>273</v>
      </c>
      <c r="D6" s="550" t="s">
        <v>402</v>
      </c>
      <c r="E6" s="551" t="s">
        <v>403</v>
      </c>
      <c r="F6" s="550" t="s">
        <v>276</v>
      </c>
      <c r="G6" s="550" t="s">
        <v>358</v>
      </c>
      <c r="H6" s="625" t="s">
        <v>277</v>
      </c>
      <c r="I6" s="550" t="s">
        <v>278</v>
      </c>
      <c r="J6" s="521" t="s">
        <v>279</v>
      </c>
      <c r="K6" s="615" t="s">
        <v>280</v>
      </c>
      <c r="L6" s="622" t="s">
        <v>282</v>
      </c>
      <c r="M6" s="521" t="s">
        <v>283</v>
      </c>
      <c r="N6" s="521" t="s">
        <v>288</v>
      </c>
      <c r="O6" s="521" t="s">
        <v>289</v>
      </c>
      <c r="P6" s="521" t="s">
        <v>292</v>
      </c>
      <c r="Q6" s="521" t="s">
        <v>293</v>
      </c>
      <c r="R6" s="742" t="s">
        <v>294</v>
      </c>
      <c r="S6" s="742" t="s">
        <v>295</v>
      </c>
      <c r="T6" s="742" t="s">
        <v>296</v>
      </c>
      <c r="U6" s="742" t="s">
        <v>297</v>
      </c>
      <c r="V6" s="742" t="s">
        <v>298</v>
      </c>
      <c r="W6" s="742" t="s">
        <v>299</v>
      </c>
      <c r="X6" s="742" t="s">
        <v>300</v>
      </c>
      <c r="Y6" s="742" t="s">
        <v>301</v>
      </c>
      <c r="Z6" s="64"/>
    </row>
    <row r="7" spans="3:26" s="26" customFormat="1">
      <c r="C7" s="305"/>
      <c r="D7" s="305"/>
      <c r="E7" s="460"/>
      <c r="F7" s="305"/>
      <c r="G7" s="306"/>
      <c r="H7" s="765"/>
      <c r="I7" s="307"/>
      <c r="J7" s="783"/>
      <c r="K7" s="613"/>
      <c r="L7" s="757"/>
      <c r="M7" s="758"/>
      <c r="N7" s="757"/>
      <c r="O7" s="757"/>
      <c r="P7" s="757"/>
      <c r="Q7" s="757"/>
      <c r="R7" s="757"/>
      <c r="S7" s="773"/>
      <c r="T7" s="773"/>
      <c r="U7" s="773"/>
      <c r="V7" s="773"/>
      <c r="W7" s="773"/>
      <c r="X7" s="773"/>
      <c r="Y7" s="773"/>
      <c r="Z7" s="64"/>
    </row>
    <row r="8" spans="3:26" s="26" customFormat="1">
      <c r="C8" s="750"/>
      <c r="D8" s="750"/>
      <c r="E8" s="751"/>
      <c r="F8" s="750"/>
      <c r="G8" s="752"/>
      <c r="H8" s="767"/>
      <c r="I8" s="753"/>
      <c r="J8" s="784"/>
      <c r="K8" s="754"/>
      <c r="L8" s="755"/>
      <c r="M8" s="759"/>
      <c r="N8" s="760"/>
      <c r="O8" s="760"/>
      <c r="P8" s="760"/>
      <c r="Q8" s="760"/>
      <c r="R8" s="760"/>
      <c r="S8" s="774"/>
      <c r="T8" s="774"/>
      <c r="U8" s="774"/>
      <c r="V8" s="774"/>
      <c r="W8" s="774"/>
      <c r="X8" s="774"/>
      <c r="Y8" s="774"/>
      <c r="Z8" s="64"/>
    </row>
    <row r="9" spans="3:26" s="26" customFormat="1">
      <c r="C9" s="553"/>
      <c r="D9" s="471"/>
      <c r="E9" s="552"/>
      <c r="F9" s="768"/>
      <c r="G9" s="471"/>
      <c r="H9" s="472" t="s">
        <v>305</v>
      </c>
      <c r="I9" s="553"/>
      <c r="J9" s="785">
        <v>1</v>
      </c>
      <c r="K9" s="612"/>
      <c r="L9" s="473"/>
      <c r="M9" s="761"/>
      <c r="N9" s="761"/>
      <c r="O9" s="761"/>
      <c r="P9" s="761"/>
      <c r="Q9" s="761"/>
      <c r="R9" s="771"/>
      <c r="S9" s="775"/>
      <c r="T9" s="775"/>
      <c r="U9" s="775"/>
      <c r="V9" s="775"/>
      <c r="W9" s="775"/>
      <c r="X9" s="775"/>
      <c r="Y9" s="775"/>
      <c r="Z9" s="64"/>
    </row>
    <row r="10" spans="3:26" s="26" customFormat="1">
      <c r="C10" s="744"/>
      <c r="D10" s="625"/>
      <c r="E10" s="747"/>
      <c r="F10" s="744" t="s">
        <v>404</v>
      </c>
      <c r="G10" s="748"/>
      <c r="H10" s="628" t="s">
        <v>405</v>
      </c>
      <c r="I10" s="749" t="s">
        <v>157</v>
      </c>
      <c r="J10" s="762"/>
      <c r="K10" s="745"/>
      <c r="L10" s="746"/>
      <c r="M10" s="762"/>
      <c r="N10" s="763"/>
      <c r="O10" s="763"/>
      <c r="P10" s="763"/>
      <c r="Q10" s="763"/>
      <c r="R10" s="779"/>
      <c r="S10" s="776"/>
      <c r="T10" s="776"/>
      <c r="U10" s="776">
        <f>SUM(R10:T10)</f>
        <v>0</v>
      </c>
      <c r="V10" s="776"/>
      <c r="W10" s="776">
        <f>SUM(U10:V10)</f>
        <v>0</v>
      </c>
      <c r="X10" s="776"/>
      <c r="Y10" s="777">
        <f>SUM(W10:X10)</f>
        <v>0</v>
      </c>
      <c r="Z10" s="64"/>
    </row>
    <row r="11" spans="3:26" s="26" customFormat="1">
      <c r="C11" s="305"/>
      <c r="D11" s="305"/>
      <c r="E11" s="460"/>
      <c r="F11" s="305"/>
      <c r="G11" s="305"/>
      <c r="H11" s="765"/>
      <c r="I11" s="308"/>
      <c r="J11" s="786"/>
      <c r="K11" s="616"/>
      <c r="L11" s="309"/>
      <c r="M11" s="758"/>
      <c r="N11" s="757"/>
      <c r="O11" s="757"/>
      <c r="P11" s="757"/>
      <c r="Q11" s="757"/>
      <c r="R11" s="757"/>
      <c r="S11" s="773"/>
      <c r="T11" s="773"/>
      <c r="U11" s="773"/>
      <c r="V11" s="773"/>
      <c r="W11" s="773"/>
      <c r="X11" s="773"/>
      <c r="Y11" s="773"/>
      <c r="Z11" s="64"/>
    </row>
    <row r="12" spans="3:26" s="26" customFormat="1">
      <c r="C12" s="310"/>
      <c r="D12" s="310"/>
      <c r="E12" s="461"/>
      <c r="F12" s="310"/>
      <c r="G12" s="310"/>
      <c r="H12" s="766"/>
      <c r="I12" s="311"/>
      <c r="J12" s="787"/>
      <c r="K12" s="617"/>
      <c r="L12" s="312"/>
      <c r="M12" s="764"/>
      <c r="N12" s="771"/>
      <c r="O12" s="771"/>
      <c r="P12" s="771"/>
      <c r="Q12" s="771"/>
      <c r="R12" s="771"/>
      <c r="S12" s="775"/>
      <c r="T12" s="775"/>
      <c r="U12" s="775"/>
      <c r="V12" s="775"/>
      <c r="W12" s="775"/>
      <c r="X12" s="775"/>
      <c r="Y12" s="775"/>
      <c r="Z12" s="64"/>
    </row>
    <row r="13" spans="3:26" s="26" customFormat="1">
      <c r="C13" s="435"/>
      <c r="E13" s="386"/>
      <c r="H13" s="624"/>
      <c r="J13" s="788"/>
      <c r="K13" s="618"/>
      <c r="L13" s="313"/>
      <c r="M13" s="64"/>
      <c r="N13" s="64"/>
      <c r="O13" s="64"/>
      <c r="P13" s="64"/>
      <c r="Q13" s="64"/>
      <c r="R13" s="778"/>
      <c r="S13" s="778"/>
      <c r="T13" s="778"/>
      <c r="U13" s="778"/>
      <c r="V13" s="778"/>
      <c r="W13" s="778"/>
      <c r="X13" s="778"/>
      <c r="Y13" s="778"/>
      <c r="Z13" s="64"/>
    </row>
    <row r="14" spans="3:26" s="26" customFormat="1">
      <c r="E14" s="386"/>
      <c r="H14" s="624"/>
      <c r="J14" s="788"/>
      <c r="K14" s="619"/>
      <c r="L14" s="623"/>
      <c r="M14" s="64"/>
      <c r="N14" s="64"/>
      <c r="O14" s="64"/>
      <c r="P14" s="64"/>
      <c r="Q14" s="64"/>
      <c r="R14" s="778"/>
      <c r="S14" s="778"/>
      <c r="T14" s="778"/>
      <c r="U14" s="778"/>
      <c r="V14" s="778"/>
      <c r="W14" s="778"/>
      <c r="X14" s="778"/>
      <c r="Y14" s="778"/>
      <c r="Z14" s="64"/>
    </row>
    <row r="15" spans="3:26" s="26" customFormat="1">
      <c r="E15" s="386"/>
      <c r="H15" s="624"/>
      <c r="J15" s="788"/>
      <c r="K15" s="619"/>
      <c r="L15" s="623"/>
      <c r="M15" s="64"/>
      <c r="N15" s="64"/>
      <c r="O15" s="64"/>
      <c r="P15" s="64"/>
      <c r="Q15" s="64"/>
      <c r="R15" s="778"/>
      <c r="S15" s="778"/>
      <c r="T15" s="778"/>
      <c r="U15" s="778"/>
      <c r="V15" s="778"/>
      <c r="W15" s="778"/>
      <c r="X15" s="778"/>
      <c r="Y15" s="778"/>
      <c r="Z15" s="64"/>
    </row>
    <row r="16" spans="3:26" s="26" customFormat="1">
      <c r="E16" s="386"/>
      <c r="H16" s="624"/>
      <c r="J16" s="788"/>
      <c r="K16" s="619"/>
      <c r="L16" s="623"/>
      <c r="M16" s="64"/>
      <c r="N16" s="64"/>
      <c r="O16" s="64"/>
      <c r="P16" s="64"/>
      <c r="Q16" s="64"/>
      <c r="R16" s="778"/>
      <c r="S16" s="778"/>
      <c r="T16" s="778"/>
      <c r="U16" s="778"/>
      <c r="V16" s="778"/>
      <c r="W16" s="778"/>
      <c r="X16" s="778"/>
      <c r="Y16" s="778"/>
      <c r="Z16" s="64"/>
    </row>
    <row r="17" spans="5:26" s="26" customFormat="1">
      <c r="E17" s="386"/>
      <c r="H17" s="624"/>
      <c r="J17" s="788"/>
      <c r="K17" s="619"/>
      <c r="L17" s="623"/>
      <c r="M17" s="64"/>
      <c r="N17" s="64"/>
      <c r="O17" s="64"/>
      <c r="P17" s="64"/>
      <c r="Q17" s="64"/>
      <c r="R17" s="778"/>
      <c r="S17" s="778"/>
      <c r="T17" s="778"/>
      <c r="U17" s="778"/>
      <c r="V17" s="778"/>
      <c r="W17" s="778"/>
      <c r="X17" s="778"/>
      <c r="Y17" s="778"/>
      <c r="Z17" s="64"/>
    </row>
  </sheetData>
  <mergeCells count="19">
    <mergeCell ref="M4:M5"/>
    <mergeCell ref="R4:R5"/>
    <mergeCell ref="X4:X5"/>
    <mergeCell ref="Y4:Y5"/>
    <mergeCell ref="S4:S5"/>
    <mergeCell ref="T4:T5"/>
    <mergeCell ref="U4:U5"/>
    <mergeCell ref="V4:V5"/>
    <mergeCell ref="W4:W5"/>
    <mergeCell ref="C4:C5"/>
    <mergeCell ref="D4:D5"/>
    <mergeCell ref="E4:E5"/>
    <mergeCell ref="F4:F5"/>
    <mergeCell ref="G4:G5"/>
    <mergeCell ref="H4:H5"/>
    <mergeCell ref="I4:I5"/>
    <mergeCell ref="J4:J5"/>
    <mergeCell ref="K4:K5"/>
    <mergeCell ref="L4:L5"/>
  </mergeCells>
  <dataValidations xWindow="16" yWindow="471" count="6">
    <dataValidation allowBlank="1" showInputMessage="1" showErrorMessage="1" promptTitle="Tạo bảng tổng hợp mới" prompt="Nhập &quot;TH&quot; rồi nhấn Enter tại cột này để tạo thêm bảng tổng hợp" sqref="C12:C13"/>
    <dataValidation allowBlank="1" showInputMessage="1" showErrorMessage="1" promptTitle="Tạo bảng tổng hợp mới" prompt="Nhập &quot;TH&quot; vào ô màu vàng rồi nhấn Enter để tạo thêm bảng tổng hợp" sqref="C4:C5"/>
    <dataValidation allowBlank="1" showInputMessage="1" showErrorMessage="1" prompt="Tỷ lệ chi phí XD nhà tạm tại hiện trường để ở và điều hành thi công" sqref="W1"/>
    <dataValidation allowBlank="1" showInputMessage="1" showErrorMessage="1" prompt="Tỷ lệ thu nhập chịu thuế tính trước (TL)" sqref="V1"/>
    <dataValidation allowBlank="1" showInputMessage="1" showErrorMessage="1" prompt="Tỷ lệ chi phí chung (C) " sqref="U1"/>
    <dataValidation allowBlank="1" showInputMessage="1" showErrorMessage="1" prompt="Tỷ lệ chi phí trực tiếp khác (TT)" sqref="S1:T1"/>
  </dataValidations>
  <pageMargins left="0.59055118110236204" right="0.196850393700787" top="0.59055118110236204" bottom="0.59055118110236204" header="0.31496062992126" footer="0.31496062992126"/>
  <pageSetup paperSize="9" scale="91" orientation="landscape" blackAndWhite="1"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93541" r:id="rId4" name="Button 5">
              <controlPr defaultSize="0" print="0" autoFill="0" autoPict="0" macro="[0]!ShowhideTHVB">
                <anchor>
                  <from>
                    <xdr:col>2</xdr:col>
                    <xdr:colOff>276225</xdr:colOff>
                    <xdr:row>1</xdr:row>
                    <xdr:rowOff>133350</xdr:rowOff>
                  </from>
                  <to>
                    <xdr:col>5</xdr:col>
                    <xdr:colOff>638175</xdr:colOff>
                    <xdr:row>2</xdr:row>
                    <xdr:rowOff>104775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XD">
    <tabColor rgb="FFFFFF00"/>
    <pageSetUpPr fitToPage="1"/>
  </sheetPr>
  <dimension ref="A1:AW356"/>
  <sheetViews>
    <sheetView showZeros="0" topLeftCell="B1" zoomScale="85" zoomScaleNormal="85" zoomScaleSheetLayoutView="80" workbookViewId="0">
      <selection activeCell="AA19" sqref="AA19"/>
    </sheetView>
  </sheetViews>
  <sheetFormatPr defaultColWidth="9" defaultRowHeight="15.75"/>
  <cols>
    <col min="1" max="1" width="3.85546875" style="79" hidden="1" customWidth="1"/>
    <col min="2" max="2" width="5.140625" style="79" bestFit="1" customWidth="1"/>
    <col min="3" max="3" width="7.85546875" style="83" hidden="1" customWidth="1"/>
    <col min="4" max="4" width="12.5703125" style="83" hidden="1" customWidth="1"/>
    <col min="5" max="5" width="13.42578125" style="83" customWidth="1"/>
    <col min="6" max="6" width="31.5703125" style="84" customWidth="1"/>
    <col min="7" max="7" width="6.5703125" style="84" customWidth="1"/>
    <col min="8" max="8" width="15.7109375" style="79" bestFit="1" customWidth="1"/>
    <col min="9" max="9" width="12.5703125" style="529" customWidth="1"/>
    <col min="10" max="10" width="12.5703125" style="529" hidden="1" customWidth="1"/>
    <col min="11" max="12" width="12.5703125" style="529" customWidth="1"/>
    <col min="13" max="13" width="12.5703125" style="529" hidden="1" customWidth="1"/>
    <col min="14" max="14" width="13.42578125" style="529" customWidth="1"/>
    <col min="15" max="15" width="13.42578125" style="529" hidden="1" customWidth="1"/>
    <col min="16" max="17" width="13.42578125" style="529" customWidth="1"/>
    <col min="18" max="18" width="13.42578125" style="529" hidden="1" customWidth="1"/>
    <col min="19" max="19" width="10.42578125" style="79" hidden="1" customWidth="1"/>
    <col min="20" max="23" width="9" style="85" hidden="1" customWidth="1"/>
    <col min="24" max="25" width="11" style="85" hidden="1" customWidth="1"/>
    <col min="26" max="26" width="12" style="79" hidden="1" customWidth="1"/>
    <col min="27" max="27" width="39" style="79" customWidth="1"/>
    <col min="28" max="28" width="5.140625" style="79" customWidth="1"/>
    <col min="29" max="30" width="9" style="606"/>
    <col min="31" max="31" width="10.5703125" style="79" customWidth="1"/>
    <col min="32" max="32" width="29.5703125" style="79" customWidth="1"/>
    <col min="33" max="33" width="9" style="79"/>
    <col min="34" max="34" width="10.5703125" style="79" customWidth="1"/>
    <col min="35" max="38" width="10.42578125" style="79" customWidth="1"/>
    <col min="39" max="43" width="12.85546875" style="79" customWidth="1"/>
    <col min="44" max="44" width="30.5703125" style="79" customWidth="1"/>
    <col min="45" max="46" width="4.5703125" style="79" customWidth="1"/>
    <col min="47" max="49" width="12" style="606" customWidth="1"/>
    <col min="50" max="50" width="29.5703125" style="79" customWidth="1"/>
    <col min="51" max="51" width="7.5703125" style="79" customWidth="1"/>
    <col min="52" max="52" width="9" style="79"/>
    <col min="53" max="61" width="12.5703125" style="79" customWidth="1"/>
    <col min="62" max="16384" width="9" style="79"/>
  </cols>
  <sheetData>
    <row r="1" spans="1:49" ht="26.1" customHeight="1">
      <c r="A1" s="2"/>
      <c r="B1" s="457" t="s">
        <v>119</v>
      </c>
      <c r="C1" s="2"/>
      <c r="D1" s="76"/>
      <c r="E1" s="76"/>
      <c r="F1" s="77"/>
      <c r="G1" s="77"/>
      <c r="H1" s="642"/>
      <c r="I1" s="527"/>
      <c r="J1" s="527"/>
      <c r="K1" s="527"/>
      <c r="L1" s="527"/>
      <c r="M1" s="527"/>
      <c r="N1" s="527"/>
      <c r="O1" s="527"/>
      <c r="P1" s="527"/>
      <c r="Q1" s="527"/>
      <c r="R1" s="527"/>
      <c r="S1" s="78"/>
      <c r="T1" s="78"/>
      <c r="U1" s="78"/>
      <c r="V1" s="78"/>
      <c r="W1" s="78"/>
      <c r="X1" s="78"/>
      <c r="Y1" s="78"/>
      <c r="Z1" s="78"/>
      <c r="AA1" s="646" t="s">
        <v>585</v>
      </c>
      <c r="AC1" s="79"/>
      <c r="AD1" s="79"/>
      <c r="AU1" s="79"/>
      <c r="AV1" s="79"/>
      <c r="AW1" s="79"/>
    </row>
    <row r="2" spans="1:49" ht="22.15" customHeight="1">
      <c r="A2" s="3"/>
      <c r="B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80"/>
      <c r="D2" s="80"/>
      <c r="E2" s="80"/>
      <c r="F2" s="81"/>
      <c r="G2" s="81"/>
      <c r="H2" s="643"/>
      <c r="I2" s="528"/>
      <c r="J2" s="528"/>
      <c r="K2" s="528"/>
      <c r="L2" s="528"/>
      <c r="M2" s="528"/>
      <c r="N2" s="528"/>
      <c r="O2" s="528"/>
      <c r="P2" s="528"/>
      <c r="Q2" s="528"/>
      <c r="R2" s="528"/>
      <c r="S2" s="873"/>
      <c r="T2" s="78"/>
      <c r="U2" s="78"/>
      <c r="V2" s="78"/>
      <c r="W2" s="78"/>
      <c r="X2" s="78"/>
      <c r="Y2" s="78"/>
      <c r="Z2" s="78"/>
      <c r="AC2" s="79"/>
      <c r="AD2" s="79"/>
      <c r="AU2" s="79"/>
      <c r="AV2" s="79"/>
      <c r="AW2" s="79"/>
    </row>
    <row r="3" spans="1:49" ht="22.15" customHeight="1">
      <c r="A3" s="3"/>
      <c r="B3" s="1019" t="str">
        <f>'Bia-Dutoan'!D43&amp;'Bia-Dutoan'!E43</f>
        <v>CÔNG TRÌNH: NHÀ 01 TẦNG, TƯỜNG CHỊU LỰC 110MM, MÁI LỢP FIBRÔXIMĂNG, KHÔNG CÓ KHU VỆ SINH KHÉP KÍN</v>
      </c>
      <c r="C3" s="80"/>
      <c r="D3" s="80"/>
      <c r="E3" s="80"/>
      <c r="F3" s="81"/>
      <c r="G3" s="81"/>
      <c r="H3" s="643"/>
      <c r="I3" s="528"/>
      <c r="J3" s="528"/>
      <c r="K3" s="528"/>
      <c r="L3" s="528"/>
      <c r="M3" s="528"/>
      <c r="N3" s="528"/>
      <c r="O3" s="528"/>
      <c r="P3" s="528"/>
      <c r="Q3" s="528"/>
      <c r="R3" s="528"/>
      <c r="S3" s="873"/>
      <c r="T3" s="78"/>
      <c r="U3" s="78"/>
      <c r="V3" s="78"/>
      <c r="W3" s="78"/>
      <c r="X3" s="78"/>
      <c r="Y3" s="78"/>
      <c r="Z3" s="78"/>
      <c r="AC3" s="79"/>
      <c r="AD3" s="79"/>
      <c r="AU3" s="79"/>
      <c r="AV3" s="79"/>
      <c r="AW3" s="79"/>
    </row>
    <row r="4" spans="1:49" ht="15" customHeight="1">
      <c r="A4" s="82"/>
      <c r="B4" s="82"/>
      <c r="Q4" s="162" t="s">
        <v>310</v>
      </c>
      <c r="R4" s="162"/>
      <c r="T4" s="79"/>
      <c r="U4" s="79"/>
      <c r="V4" s="79"/>
      <c r="W4" s="79"/>
      <c r="X4" s="79"/>
      <c r="Y4" s="79"/>
      <c r="AC4" s="79"/>
      <c r="AD4" s="79"/>
      <c r="AU4" s="79"/>
      <c r="AV4" s="79"/>
      <c r="AW4" s="79"/>
    </row>
    <row r="5" spans="1:49" ht="16.5" customHeight="1">
      <c r="A5" s="2526" t="s">
        <v>390</v>
      </c>
      <c r="B5" s="2530" t="s">
        <v>196</v>
      </c>
      <c r="C5" s="2532" t="s">
        <v>145</v>
      </c>
      <c r="D5" s="2530" t="s">
        <v>187</v>
      </c>
      <c r="E5" s="2536" t="s">
        <v>308</v>
      </c>
      <c r="F5" s="2530" t="s">
        <v>121</v>
      </c>
      <c r="G5" s="2532" t="s">
        <v>122</v>
      </c>
      <c r="H5" s="2530" t="s">
        <v>136</v>
      </c>
      <c r="I5" s="1980" t="s">
        <v>123</v>
      </c>
      <c r="J5" s="1980"/>
      <c r="K5" s="1980"/>
      <c r="L5" s="1980"/>
      <c r="M5" s="2538" t="s">
        <v>123</v>
      </c>
      <c r="N5" s="1980" t="s">
        <v>124</v>
      </c>
      <c r="O5" s="1980"/>
      <c r="P5" s="1980"/>
      <c r="Q5" s="1980"/>
      <c r="R5" s="2540" t="s">
        <v>124</v>
      </c>
      <c r="S5" s="2534" t="s">
        <v>125</v>
      </c>
      <c r="T5" s="86" t="s">
        <v>126</v>
      </c>
      <c r="U5" s="86"/>
      <c r="V5" s="86"/>
      <c r="W5" s="2528" t="s">
        <v>127</v>
      </c>
      <c r="X5" s="2528" t="s">
        <v>128</v>
      </c>
      <c r="Y5" s="2528" t="s">
        <v>129</v>
      </c>
      <c r="Z5" s="2528" t="s">
        <v>130</v>
      </c>
    </row>
    <row r="6" spans="1:49">
      <c r="A6" s="2527"/>
      <c r="B6" s="2531"/>
      <c r="C6" s="2533"/>
      <c r="D6" s="2531"/>
      <c r="E6" s="2537"/>
      <c r="F6" s="2531"/>
      <c r="G6" s="2533"/>
      <c r="H6" s="2531"/>
      <c r="I6" s="1981" t="s">
        <v>224</v>
      </c>
      <c r="J6" s="1981" t="s">
        <v>229</v>
      </c>
      <c r="K6" s="1981" t="s">
        <v>225</v>
      </c>
      <c r="L6" s="1981" t="s">
        <v>401</v>
      </c>
      <c r="M6" s="2539"/>
      <c r="N6" s="1981" t="s">
        <v>224</v>
      </c>
      <c r="O6" s="1981" t="s">
        <v>229</v>
      </c>
      <c r="P6" s="1981" t="s">
        <v>225</v>
      </c>
      <c r="Q6" s="1981" t="s">
        <v>401</v>
      </c>
      <c r="R6" s="2541"/>
      <c r="S6" s="2535"/>
      <c r="T6" s="87" t="s">
        <v>132</v>
      </c>
      <c r="U6" s="87" t="s">
        <v>133</v>
      </c>
      <c r="V6" s="87" t="s">
        <v>134</v>
      </c>
      <c r="W6" s="2529"/>
      <c r="X6" s="2529"/>
      <c r="Y6" s="2529"/>
      <c r="Z6" s="2529"/>
    </row>
    <row r="7" spans="1:49" s="434" customFormat="1" ht="12.75">
      <c r="A7" s="1959"/>
      <c r="B7" s="1982" t="s">
        <v>273</v>
      </c>
      <c r="C7" s="1983" t="s">
        <v>274</v>
      </c>
      <c r="D7" s="1982" t="s">
        <v>275</v>
      </c>
      <c r="E7" s="1984" t="s">
        <v>276</v>
      </c>
      <c r="F7" s="1985" t="s">
        <v>277</v>
      </c>
      <c r="G7" s="1986" t="s">
        <v>278</v>
      </c>
      <c r="H7" s="1982" t="s">
        <v>279</v>
      </c>
      <c r="I7" s="1982" t="s">
        <v>280</v>
      </c>
      <c r="J7" s="1982" t="s">
        <v>281</v>
      </c>
      <c r="K7" s="1982" t="s">
        <v>282</v>
      </c>
      <c r="L7" s="1982" t="s">
        <v>283</v>
      </c>
      <c r="M7" s="1982" t="s">
        <v>280</v>
      </c>
      <c r="N7" s="1982" t="s">
        <v>284</v>
      </c>
      <c r="O7" s="1982" t="s">
        <v>285</v>
      </c>
      <c r="P7" s="1982" t="s">
        <v>286</v>
      </c>
      <c r="Q7" s="1982" t="s">
        <v>287</v>
      </c>
      <c r="R7" s="1965" t="s">
        <v>303</v>
      </c>
      <c r="S7" s="436" t="s">
        <v>279</v>
      </c>
      <c r="T7" s="439" t="s">
        <v>280</v>
      </c>
      <c r="U7" s="439" t="s">
        <v>281</v>
      </c>
      <c r="V7" s="439" t="s">
        <v>282</v>
      </c>
      <c r="W7" s="439" t="s">
        <v>283</v>
      </c>
      <c r="X7" s="439" t="s">
        <v>288</v>
      </c>
      <c r="Y7" s="439" t="s">
        <v>292</v>
      </c>
      <c r="Z7" s="439" t="s">
        <v>293</v>
      </c>
    </row>
    <row r="8" spans="1:49" hidden="1">
      <c r="A8" s="1960"/>
      <c r="B8" s="1987"/>
      <c r="C8" s="1988"/>
      <c r="D8" s="1989"/>
      <c r="E8" s="1990"/>
      <c r="F8" s="1991"/>
      <c r="G8" s="1992"/>
      <c r="H8" s="1993"/>
      <c r="I8" s="1994"/>
      <c r="J8" s="1994"/>
      <c r="K8" s="1994"/>
      <c r="L8" s="1994"/>
      <c r="M8" s="1994"/>
      <c r="N8" s="1994"/>
      <c r="O8" s="1994"/>
      <c r="P8" s="1994"/>
      <c r="Q8" s="1995"/>
      <c r="R8" s="1966"/>
      <c r="S8" s="909"/>
      <c r="T8" s="909"/>
      <c r="U8" s="909"/>
      <c r="V8" s="909"/>
      <c r="W8" s="909"/>
      <c r="X8" s="908"/>
      <c r="Y8" s="908"/>
      <c r="Z8" s="908"/>
    </row>
    <row r="9" spans="1:49">
      <c r="A9" s="1961" t="s">
        <v>1634</v>
      </c>
      <c r="B9" s="1996"/>
      <c r="C9" s="1997"/>
      <c r="D9" s="1998"/>
      <c r="E9" s="1974" t="s">
        <v>1633</v>
      </c>
      <c r="F9" s="1978" t="s">
        <v>1585</v>
      </c>
      <c r="G9" s="1918"/>
      <c r="H9" s="1919"/>
      <c r="I9" s="1920"/>
      <c r="J9" s="1920"/>
      <c r="K9" s="1920"/>
      <c r="L9" s="1920"/>
      <c r="M9" s="1920"/>
      <c r="N9" s="1920"/>
      <c r="O9" s="1920"/>
      <c r="P9" s="1920"/>
      <c r="Q9" s="1971"/>
      <c r="R9" s="1921"/>
      <c r="S9" s="1922"/>
      <c r="T9" s="1922"/>
      <c r="U9" s="1922"/>
      <c r="V9" s="1922"/>
      <c r="W9" s="1922"/>
      <c r="X9" s="1923"/>
      <c r="Y9" s="1923"/>
      <c r="Z9" s="1924"/>
    </row>
    <row r="10" spans="1:49" ht="47.25">
      <c r="A10" s="2029">
        <v>61</v>
      </c>
      <c r="B10" s="2034">
        <v>1</v>
      </c>
      <c r="C10" s="2035" t="s">
        <v>1536</v>
      </c>
      <c r="D10" s="2036" t="s">
        <v>1535</v>
      </c>
      <c r="E10" s="2033" t="s">
        <v>1535</v>
      </c>
      <c r="F10" s="2040" t="s">
        <v>1828</v>
      </c>
      <c r="G10" s="2037" t="s">
        <v>1829</v>
      </c>
      <c r="H10" s="2032">
        <f>SUM(H11:H19)</f>
        <v>0.32319999999999999</v>
      </c>
      <c r="I10" s="2038"/>
      <c r="J10" s="2038"/>
      <c r="K10" s="2072">
        <f>'Don gia XD'!M9</f>
        <v>794038</v>
      </c>
      <c r="L10" s="2072">
        <f>'Don gia XD'!M11</f>
        <v>833223</v>
      </c>
      <c r="M10" s="2038">
        <f ca="1">'Don gia XD'!M23</f>
        <v>2198273.84957708</v>
      </c>
      <c r="N10" s="2038">
        <f>H10*I10</f>
        <v>0</v>
      </c>
      <c r="O10" s="2038">
        <f>H10*J10</f>
        <v>0</v>
      </c>
      <c r="P10" s="2038">
        <f>H10*K10</f>
        <v>256633.08159999998</v>
      </c>
      <c r="Q10" s="2039">
        <f>H10*L10</f>
        <v>269297.67359999998</v>
      </c>
      <c r="R10" s="2030">
        <f ca="1">H10*M10</f>
        <v>710482.10818331223</v>
      </c>
      <c r="S10" s="2031"/>
      <c r="T10" s="2031"/>
      <c r="U10" s="2031"/>
      <c r="V10" s="2031"/>
      <c r="W10" s="2031"/>
      <c r="X10" s="2032"/>
      <c r="Y10" s="2032"/>
      <c r="Z10" s="2032"/>
      <c r="AA10" s="79" t="s">
        <v>1830</v>
      </c>
    </row>
    <row r="11" spans="1:49">
      <c r="A11" s="1960"/>
      <c r="B11" s="1999"/>
      <c r="C11" s="2000"/>
      <c r="D11" s="2001"/>
      <c r="E11" s="2021" t="s">
        <v>1536</v>
      </c>
      <c r="F11" s="2003" t="s">
        <v>1648</v>
      </c>
      <c r="G11" s="2004"/>
      <c r="H11" s="2005"/>
      <c r="I11" s="2006"/>
      <c r="J11" s="2006"/>
      <c r="K11" s="2006"/>
      <c r="L11" s="2006"/>
      <c r="M11" s="2006"/>
      <c r="N11" s="2006"/>
      <c r="O11" s="2006"/>
      <c r="P11" s="2006"/>
      <c r="Q11" s="2007"/>
      <c r="R11" s="1967"/>
      <c r="S11" s="88"/>
      <c r="T11" s="88"/>
      <c r="U11" s="88"/>
      <c r="V11" s="88"/>
      <c r="W11" s="88"/>
      <c r="X11" s="89"/>
      <c r="Y11" s="89"/>
      <c r="Z11" s="89"/>
    </row>
    <row r="12" spans="1:49" ht="31.5">
      <c r="A12" s="1960"/>
      <c r="B12" s="1999"/>
      <c r="C12" s="2000"/>
      <c r="D12" s="2001"/>
      <c r="E12" s="2021" t="s">
        <v>1536</v>
      </c>
      <c r="F12" s="2003" t="s">
        <v>1659</v>
      </c>
      <c r="G12" s="2004"/>
      <c r="H12" s="2008">
        <f>ROUND(kl(F12),Config!$C$104)</f>
        <v>7.4399999999999994E-2</v>
      </c>
      <c r="I12" s="2006"/>
      <c r="J12" s="2006"/>
      <c r="K12" s="2006"/>
      <c r="L12" s="2006"/>
      <c r="M12" s="2006"/>
      <c r="N12" s="2006"/>
      <c r="O12" s="2006"/>
      <c r="P12" s="2006"/>
      <c r="Q12" s="2007"/>
      <c r="R12" s="1967"/>
      <c r="S12" s="88"/>
      <c r="T12" s="88"/>
      <c r="U12" s="88"/>
      <c r="V12" s="88"/>
      <c r="W12" s="88"/>
      <c r="X12" s="89"/>
      <c r="Y12" s="89"/>
      <c r="Z12" s="89"/>
    </row>
    <row r="13" spans="1:49" ht="31.5">
      <c r="A13" s="1960"/>
      <c r="B13" s="1999"/>
      <c r="C13" s="2000"/>
      <c r="D13" s="2001"/>
      <c r="E13" s="2021" t="s">
        <v>1536</v>
      </c>
      <c r="F13" s="2003" t="s">
        <v>1660</v>
      </c>
      <c r="G13" s="2004"/>
      <c r="H13" s="2008">
        <f>ROUND(kl(F13),Config!$C$104)</f>
        <v>7.4399999999999994E-2</v>
      </c>
      <c r="I13" s="2006"/>
      <c r="J13" s="2006"/>
      <c r="K13" s="2006"/>
      <c r="L13" s="2006"/>
      <c r="M13" s="2006"/>
      <c r="N13" s="2006"/>
      <c r="O13" s="2006"/>
      <c r="P13" s="2006"/>
      <c r="Q13" s="2007"/>
      <c r="R13" s="1967"/>
      <c r="S13" s="88"/>
      <c r="T13" s="88"/>
      <c r="U13" s="88"/>
      <c r="V13" s="88"/>
      <c r="W13" s="88"/>
      <c r="X13" s="89"/>
      <c r="Y13" s="89"/>
      <c r="Z13" s="89"/>
    </row>
    <row r="14" spans="1:49">
      <c r="A14" s="1960"/>
      <c r="B14" s="1999"/>
      <c r="C14" s="2000"/>
      <c r="D14" s="2001"/>
      <c r="E14" s="2021" t="s">
        <v>1536</v>
      </c>
      <c r="F14" s="2003" t="s">
        <v>1649</v>
      </c>
      <c r="G14" s="2004"/>
      <c r="H14" s="2005"/>
      <c r="I14" s="2006"/>
      <c r="J14" s="2006"/>
      <c r="K14" s="2006"/>
      <c r="L14" s="2006"/>
      <c r="M14" s="2006"/>
      <c r="N14" s="2006"/>
      <c r="O14" s="2006"/>
      <c r="P14" s="2006"/>
      <c r="Q14" s="2007"/>
      <c r="R14" s="1967"/>
      <c r="S14" s="88"/>
      <c r="T14" s="88"/>
      <c r="U14" s="88"/>
      <c r="V14" s="88"/>
      <c r="W14" s="88"/>
      <c r="X14" s="89"/>
      <c r="Y14" s="89"/>
      <c r="Z14" s="89"/>
    </row>
    <row r="15" spans="1:49" ht="31.5">
      <c r="A15" s="1960"/>
      <c r="B15" s="1999"/>
      <c r="C15" s="2000"/>
      <c r="D15" s="2001"/>
      <c r="E15" s="2021" t="s">
        <v>1536</v>
      </c>
      <c r="F15" s="2003" t="s">
        <v>1660</v>
      </c>
      <c r="G15" s="2004"/>
      <c r="H15" s="2008">
        <f>ROUND(kl(F15),Config!$C$104)</f>
        <v>7.4399999999999994E-2</v>
      </c>
      <c r="I15" s="2006"/>
      <c r="J15" s="2006"/>
      <c r="K15" s="2006"/>
      <c r="L15" s="2006"/>
      <c r="M15" s="2006"/>
      <c r="N15" s="2006"/>
      <c r="O15" s="2006"/>
      <c r="P15" s="2006"/>
      <c r="Q15" s="2007"/>
      <c r="R15" s="1967"/>
      <c r="S15" s="88"/>
      <c r="T15" s="88"/>
      <c r="U15" s="88"/>
      <c r="V15" s="88"/>
      <c r="W15" s="88"/>
      <c r="X15" s="89"/>
      <c r="Y15" s="89"/>
      <c r="Z15" s="89"/>
    </row>
    <row r="16" spans="1:49" ht="31.5">
      <c r="A16" s="1960"/>
      <c r="B16" s="1999"/>
      <c r="C16" s="2000"/>
      <c r="D16" s="2001"/>
      <c r="E16" s="2021" t="s">
        <v>1536</v>
      </c>
      <c r="F16" s="2003" t="s">
        <v>1661</v>
      </c>
      <c r="G16" s="2004"/>
      <c r="H16" s="2008">
        <f>ROUND(kl(F16),Config!$C$104)</f>
        <v>8.2799999999999999E-2</v>
      </c>
      <c r="I16" s="2006"/>
      <c r="J16" s="2006"/>
      <c r="K16" s="2006"/>
      <c r="L16" s="2006"/>
      <c r="M16" s="2006"/>
      <c r="N16" s="2006"/>
      <c r="O16" s="2006"/>
      <c r="P16" s="2006"/>
      <c r="Q16" s="2007"/>
      <c r="R16" s="1967"/>
      <c r="S16" s="88"/>
      <c r="T16" s="88"/>
      <c r="U16" s="88"/>
      <c r="V16" s="88"/>
      <c r="W16" s="88"/>
      <c r="X16" s="89"/>
      <c r="Y16" s="89"/>
      <c r="Z16" s="89"/>
    </row>
    <row r="17" spans="1:27">
      <c r="A17" s="1960"/>
      <c r="B17" s="1999"/>
      <c r="C17" s="2000"/>
      <c r="D17" s="2001"/>
      <c r="E17" s="2021" t="s">
        <v>1536</v>
      </c>
      <c r="F17" s="2003" t="s">
        <v>1650</v>
      </c>
      <c r="G17" s="2004"/>
      <c r="H17" s="2005"/>
      <c r="I17" s="2006"/>
      <c r="J17" s="2006"/>
      <c r="K17" s="2006"/>
      <c r="L17" s="2006"/>
      <c r="M17" s="2006"/>
      <c r="N17" s="2006"/>
      <c r="O17" s="2006"/>
      <c r="P17" s="2006"/>
      <c r="Q17" s="2007"/>
      <c r="R17" s="1967"/>
      <c r="S17" s="88"/>
      <c r="T17" s="88"/>
      <c r="U17" s="88"/>
      <c r="V17" s="88"/>
      <c r="W17" s="88"/>
      <c r="X17" s="89"/>
      <c r="Y17" s="89"/>
      <c r="Z17" s="89"/>
    </row>
    <row r="18" spans="1:27" ht="31.5">
      <c r="A18" s="1960"/>
      <c r="B18" s="1999"/>
      <c r="C18" s="2000"/>
      <c r="D18" s="2001"/>
      <c r="E18" s="2021" t="s">
        <v>1536</v>
      </c>
      <c r="F18" s="2003" t="s">
        <v>1662</v>
      </c>
      <c r="G18" s="2004"/>
      <c r="H18" s="2008">
        <f>ROUND(kl(F18),Config!$C$104)</f>
        <v>1.6999999999999999E-3</v>
      </c>
      <c r="I18" s="2006"/>
      <c r="J18" s="2006"/>
      <c r="K18" s="2006"/>
      <c r="L18" s="2006"/>
      <c r="M18" s="2006"/>
      <c r="N18" s="2006"/>
      <c r="O18" s="2006"/>
      <c r="P18" s="2006"/>
      <c r="Q18" s="2007"/>
      <c r="R18" s="1967"/>
      <c r="S18" s="88"/>
      <c r="T18" s="88"/>
      <c r="U18" s="88"/>
      <c r="V18" s="88"/>
      <c r="W18" s="88"/>
      <c r="X18" s="89"/>
      <c r="Y18" s="89"/>
      <c r="Z18" s="89"/>
    </row>
    <row r="19" spans="1:27" ht="31.5">
      <c r="A19" s="1960"/>
      <c r="B19" s="1999"/>
      <c r="C19" s="2000"/>
      <c r="D19" s="2001"/>
      <c r="E19" s="2021" t="s">
        <v>1536</v>
      </c>
      <c r="F19" s="2003" t="s">
        <v>1663</v>
      </c>
      <c r="G19" s="2004"/>
      <c r="H19" s="2008">
        <f>ROUND(kl(F19),Config!$C$104)</f>
        <v>1.55E-2</v>
      </c>
      <c r="I19" s="2006"/>
      <c r="J19" s="2006"/>
      <c r="K19" s="2006"/>
      <c r="L19" s="2006"/>
      <c r="M19" s="2006"/>
      <c r="N19" s="2006"/>
      <c r="O19" s="2006"/>
      <c r="P19" s="2006"/>
      <c r="Q19" s="2007"/>
      <c r="R19" s="1967"/>
      <c r="S19" s="88"/>
      <c r="T19" s="88"/>
      <c r="U19" s="88"/>
      <c r="V19" s="88"/>
      <c r="W19" s="88"/>
      <c r="X19" s="89"/>
      <c r="Y19" s="89"/>
      <c r="Z19" s="89"/>
    </row>
    <row r="20" spans="1:27" ht="47.25">
      <c r="A20" s="2080">
        <v>62</v>
      </c>
      <c r="B20" s="2081">
        <v>2</v>
      </c>
      <c r="C20" s="2078" t="s">
        <v>1536</v>
      </c>
      <c r="D20" s="2082" t="s">
        <v>1537</v>
      </c>
      <c r="E20" s="2083" t="s">
        <v>1537</v>
      </c>
      <c r="F20" s="2089" t="s">
        <v>1838</v>
      </c>
      <c r="G20" s="2079" t="s">
        <v>1829</v>
      </c>
      <c r="H20" s="2084">
        <f>SUM(H21:H39)</f>
        <v>4.9237599999999986E-2</v>
      </c>
      <c r="I20" s="2085"/>
      <c r="J20" s="2085"/>
      <c r="K20" s="2121">
        <f>'Don gia XD'!M25</f>
        <v>1293445</v>
      </c>
      <c r="L20" s="2121">
        <f>'Don gia XD'!M27</f>
        <v>475369</v>
      </c>
      <c r="M20" s="2085">
        <f ca="1">'Don gia XD'!M39</f>
        <v>2389498.4031239199</v>
      </c>
      <c r="N20" s="2085">
        <f>H20*I20</f>
        <v>0</v>
      </c>
      <c r="O20" s="2085">
        <f>H20*J20</f>
        <v>0</v>
      </c>
      <c r="P20" s="2085">
        <f>H20*K20</f>
        <v>63686.127531999984</v>
      </c>
      <c r="Q20" s="2086">
        <f>H20*L20</f>
        <v>23406.028674399993</v>
      </c>
      <c r="R20" s="2076">
        <f ca="1">H20*M20</f>
        <v>117653.16657365428</v>
      </c>
      <c r="S20" s="2087"/>
      <c r="T20" s="2087"/>
      <c r="U20" s="2087"/>
      <c r="V20" s="2087"/>
      <c r="W20" s="2087"/>
      <c r="X20" s="2088"/>
      <c r="Y20" s="2088"/>
      <c r="Z20" s="2088"/>
      <c r="AA20" s="79" t="s">
        <v>1830</v>
      </c>
    </row>
    <row r="21" spans="1:27" ht="31.5">
      <c r="A21" s="1960"/>
      <c r="B21" s="1999"/>
      <c r="C21" s="2000"/>
      <c r="D21" s="2001"/>
      <c r="E21" s="2021" t="s">
        <v>1536</v>
      </c>
      <c r="F21" s="2003" t="s">
        <v>1651</v>
      </c>
      <c r="G21" s="2004"/>
      <c r="H21" s="2005"/>
      <c r="I21" s="2006"/>
      <c r="J21" s="2006"/>
      <c r="K21" s="2006"/>
      <c r="L21" s="2006"/>
      <c r="M21" s="2006"/>
      <c r="N21" s="2006"/>
      <c r="O21" s="2006"/>
      <c r="P21" s="2006"/>
      <c r="Q21" s="2007"/>
      <c r="R21" s="1967"/>
      <c r="S21" s="88"/>
      <c r="T21" s="88"/>
      <c r="U21" s="88"/>
      <c r="V21" s="88"/>
      <c r="W21" s="88"/>
      <c r="X21" s="89"/>
      <c r="Y21" s="89"/>
      <c r="Z21" s="89"/>
    </row>
    <row r="22" spans="1:27">
      <c r="A22" s="1960"/>
      <c r="B22" s="1999"/>
      <c r="C22" s="2000"/>
      <c r="D22" s="2001"/>
      <c r="E22" s="2021" t="s">
        <v>1536</v>
      </c>
      <c r="F22" s="2003" t="s">
        <v>1586</v>
      </c>
      <c r="G22" s="2004"/>
      <c r="H22" s="2005"/>
      <c r="I22" s="2006"/>
      <c r="J22" s="2006"/>
      <c r="K22" s="2006"/>
      <c r="L22" s="2006"/>
      <c r="M22" s="2006"/>
      <c r="N22" s="2006"/>
      <c r="O22" s="2006"/>
      <c r="P22" s="2006"/>
      <c r="Q22" s="2007"/>
      <c r="R22" s="1967"/>
      <c r="S22" s="88"/>
      <c r="T22" s="88"/>
      <c r="U22" s="88"/>
      <c r="V22" s="88"/>
      <c r="W22" s="88"/>
      <c r="X22" s="89"/>
      <c r="Y22" s="89"/>
      <c r="Z22" s="89"/>
    </row>
    <row r="23" spans="1:27">
      <c r="A23" s="1960"/>
      <c r="B23" s="1999"/>
      <c r="C23" s="2000"/>
      <c r="D23" s="2001"/>
      <c r="E23" s="2021" t="s">
        <v>1536</v>
      </c>
      <c r="F23" s="2003" t="s">
        <v>1587</v>
      </c>
      <c r="G23" s="2004"/>
      <c r="H23" s="2008">
        <f>ROUND(kl(F23),Config!$C$104)</f>
        <v>0.32319999999999999</v>
      </c>
      <c r="I23" s="2006"/>
      <c r="J23" s="2006"/>
      <c r="K23" s="2006"/>
      <c r="L23" s="2006"/>
      <c r="M23" s="2006"/>
      <c r="N23" s="2006"/>
      <c r="O23" s="2006"/>
      <c r="P23" s="2006"/>
      <c r="Q23" s="2007"/>
      <c r="R23" s="1967"/>
      <c r="S23" s="88"/>
      <c r="T23" s="88"/>
      <c r="U23" s="88"/>
      <c r="V23" s="88"/>
      <c r="W23" s="88"/>
      <c r="X23" s="89"/>
      <c r="Y23" s="89"/>
      <c r="Z23" s="89"/>
    </row>
    <row r="24" spans="1:27">
      <c r="A24" s="1960"/>
      <c r="B24" s="1999"/>
      <c r="C24" s="2000"/>
      <c r="D24" s="2001"/>
      <c r="E24" s="2021" t="s">
        <v>1536</v>
      </c>
      <c r="F24" s="2003" t="s">
        <v>1588</v>
      </c>
      <c r="G24" s="2004"/>
      <c r="H24" s="2005"/>
      <c r="I24" s="2006"/>
      <c r="J24" s="2006"/>
      <c r="K24" s="2006"/>
      <c r="L24" s="2006"/>
      <c r="M24" s="2006"/>
      <c r="N24" s="2006"/>
      <c r="O24" s="2006"/>
      <c r="P24" s="2006"/>
      <c r="Q24" s="2007"/>
      <c r="R24" s="1967"/>
      <c r="S24" s="88"/>
      <c r="T24" s="88"/>
      <c r="U24" s="88"/>
      <c r="V24" s="88"/>
      <c r="W24" s="88"/>
      <c r="X24" s="89"/>
      <c r="Y24" s="89"/>
      <c r="Z24" s="89"/>
    </row>
    <row r="25" spans="1:27">
      <c r="A25" s="1960"/>
      <c r="B25" s="1999"/>
      <c r="C25" s="2000"/>
      <c r="D25" s="2001"/>
      <c r="E25" s="2021" t="s">
        <v>1536</v>
      </c>
      <c r="F25" s="2003" t="s">
        <v>1589</v>
      </c>
      <c r="G25" s="2004"/>
      <c r="H25" s="2008">
        <f>ROUND(kl(F25),Config!$C$104)</f>
        <v>-2.5499999999999998E-2</v>
      </c>
      <c r="I25" s="2006"/>
      <c r="J25" s="2006"/>
      <c r="K25" s="2006"/>
      <c r="L25" s="2006"/>
      <c r="M25" s="2006"/>
      <c r="N25" s="2006"/>
      <c r="O25" s="2006"/>
      <c r="P25" s="2006"/>
      <c r="Q25" s="2007"/>
      <c r="R25" s="1967"/>
      <c r="S25" s="88"/>
      <c r="T25" s="88"/>
      <c r="U25" s="88"/>
      <c r="V25" s="88"/>
      <c r="W25" s="88"/>
      <c r="X25" s="89"/>
      <c r="Y25" s="89"/>
      <c r="Z25" s="89"/>
    </row>
    <row r="26" spans="1:27">
      <c r="A26" s="1960"/>
      <c r="B26" s="1999"/>
      <c r="C26" s="2000"/>
      <c r="D26" s="2001"/>
      <c r="E26" s="2021" t="s">
        <v>1536</v>
      </c>
      <c r="F26" s="2003" t="s">
        <v>1590</v>
      </c>
      <c r="G26" s="2004"/>
      <c r="H26" s="2005"/>
      <c r="I26" s="2006"/>
      <c r="J26" s="2006"/>
      <c r="K26" s="2006"/>
      <c r="L26" s="2006"/>
      <c r="M26" s="2006"/>
      <c r="N26" s="2006"/>
      <c r="O26" s="2006"/>
      <c r="P26" s="2006"/>
      <c r="Q26" s="2007"/>
      <c r="R26" s="1967"/>
      <c r="S26" s="88"/>
      <c r="T26" s="88"/>
      <c r="U26" s="88"/>
      <c r="V26" s="88"/>
      <c r="W26" s="88"/>
      <c r="X26" s="89"/>
      <c r="Y26" s="89"/>
      <c r="Z26" s="89"/>
    </row>
    <row r="27" spans="1:27">
      <c r="A27" s="1960"/>
      <c r="B27" s="1999"/>
      <c r="C27" s="2000"/>
      <c r="D27" s="2001"/>
      <c r="E27" s="2021" t="s">
        <v>1536</v>
      </c>
      <c r="F27" s="2003" t="s">
        <v>1648</v>
      </c>
      <c r="G27" s="2004"/>
      <c r="H27" s="2005"/>
      <c r="I27" s="2006"/>
      <c r="J27" s="2006"/>
      <c r="K27" s="2006"/>
      <c r="L27" s="2006"/>
      <c r="M27" s="2006"/>
      <c r="N27" s="2006"/>
      <c r="O27" s="2006"/>
      <c r="P27" s="2006"/>
      <c r="Q27" s="2007"/>
      <c r="R27" s="1967"/>
      <c r="S27" s="88"/>
      <c r="T27" s="88"/>
      <c r="U27" s="88"/>
      <c r="V27" s="88"/>
      <c r="W27" s="88"/>
      <c r="X27" s="89"/>
      <c r="Y27" s="89"/>
      <c r="Z27" s="89"/>
    </row>
    <row r="28" spans="1:27">
      <c r="A28" s="1960"/>
      <c r="B28" s="1999"/>
      <c r="C28" s="2000"/>
      <c r="D28" s="2001"/>
      <c r="E28" s="2021" t="s">
        <v>1536</v>
      </c>
      <c r="F28" s="2003" t="s">
        <v>1664</v>
      </c>
      <c r="G28" s="2004"/>
      <c r="H28" s="2008">
        <f>ROUND(kl(F28),Config!$C$104)</f>
        <v>-4.7E-2</v>
      </c>
      <c r="I28" s="2006"/>
      <c r="J28" s="2006"/>
      <c r="K28" s="2006"/>
      <c r="L28" s="2006"/>
      <c r="M28" s="2006"/>
      <c r="N28" s="2006"/>
      <c r="O28" s="2006"/>
      <c r="P28" s="2006"/>
      <c r="Q28" s="2007"/>
      <c r="R28" s="1967"/>
      <c r="S28" s="88"/>
      <c r="T28" s="88"/>
      <c r="U28" s="88"/>
      <c r="V28" s="88"/>
      <c r="W28" s="88"/>
      <c r="X28" s="89"/>
      <c r="Y28" s="89"/>
      <c r="Z28" s="89"/>
    </row>
    <row r="29" spans="1:27">
      <c r="A29" s="1960"/>
      <c r="B29" s="1999"/>
      <c r="C29" s="2000"/>
      <c r="D29" s="2001"/>
      <c r="E29" s="2021" t="s">
        <v>1536</v>
      </c>
      <c r="F29" s="2003" t="s">
        <v>1665</v>
      </c>
      <c r="G29" s="2004"/>
      <c r="H29" s="2008">
        <f>ROUND(kl(F29),Config!$C$104)</f>
        <v>-4.8099999999999997E-2</v>
      </c>
      <c r="I29" s="2006"/>
      <c r="J29" s="2006"/>
      <c r="K29" s="2006"/>
      <c r="L29" s="2006"/>
      <c r="M29" s="2006"/>
      <c r="N29" s="2006"/>
      <c r="O29" s="2006"/>
      <c r="P29" s="2006"/>
      <c r="Q29" s="2007"/>
      <c r="R29" s="1967"/>
      <c r="S29" s="88"/>
      <c r="T29" s="88"/>
      <c r="U29" s="88"/>
      <c r="V29" s="88"/>
      <c r="W29" s="88"/>
      <c r="X29" s="89"/>
      <c r="Y29" s="89"/>
      <c r="Z29" s="89"/>
    </row>
    <row r="30" spans="1:27">
      <c r="A30" s="1960"/>
      <c r="B30" s="1999"/>
      <c r="C30" s="2000"/>
      <c r="D30" s="2001"/>
      <c r="E30" s="2021" t="s">
        <v>1536</v>
      </c>
      <c r="F30" s="2003" t="s">
        <v>1666</v>
      </c>
      <c r="G30" s="2004"/>
      <c r="H30" s="2008">
        <f>ROUND(kl(F30),Config!$C$104)</f>
        <v>-9.2999999999999992E-3</v>
      </c>
      <c r="I30" s="2006"/>
      <c r="J30" s="2006"/>
      <c r="K30" s="2006"/>
      <c r="L30" s="2006"/>
      <c r="M30" s="2006"/>
      <c r="N30" s="2006"/>
      <c r="O30" s="2006"/>
      <c r="P30" s="2006"/>
      <c r="Q30" s="2007"/>
      <c r="R30" s="1967"/>
      <c r="S30" s="88"/>
      <c r="T30" s="88"/>
      <c r="U30" s="88"/>
      <c r="V30" s="88"/>
      <c r="W30" s="88"/>
      <c r="X30" s="89"/>
      <c r="Y30" s="89"/>
      <c r="Z30" s="89"/>
    </row>
    <row r="31" spans="1:27">
      <c r="A31" s="1960"/>
      <c r="B31" s="1999"/>
      <c r="C31" s="2000"/>
      <c r="D31" s="2001"/>
      <c r="E31" s="2021" t="s">
        <v>1536</v>
      </c>
      <c r="F31" s="2003" t="s">
        <v>1667</v>
      </c>
      <c r="G31" s="2004"/>
      <c r="H31" s="2008">
        <f>ROUND(kl(F31),Config!$C$104)</f>
        <v>-1.0200000000000001E-2</v>
      </c>
      <c r="I31" s="2006"/>
      <c r="J31" s="2006"/>
      <c r="K31" s="2006"/>
      <c r="L31" s="2006"/>
      <c r="M31" s="2006"/>
      <c r="N31" s="2006"/>
      <c r="O31" s="2006"/>
      <c r="P31" s="2006"/>
      <c r="Q31" s="2007"/>
      <c r="R31" s="1967"/>
      <c r="S31" s="88"/>
      <c r="T31" s="88"/>
      <c r="U31" s="88"/>
      <c r="V31" s="88"/>
      <c r="W31" s="88"/>
      <c r="X31" s="89"/>
      <c r="Y31" s="89"/>
      <c r="Z31" s="89"/>
    </row>
    <row r="32" spans="1:27">
      <c r="A32" s="1960"/>
      <c r="B32" s="1999"/>
      <c r="C32" s="2000"/>
      <c r="D32" s="2001"/>
      <c r="E32" s="2021" t="s">
        <v>1536</v>
      </c>
      <c r="F32" s="2003" t="s">
        <v>1649</v>
      </c>
      <c r="G32" s="2004"/>
      <c r="H32" s="2005"/>
      <c r="I32" s="2006"/>
      <c r="J32" s="2006"/>
      <c r="K32" s="2006"/>
      <c r="L32" s="2006"/>
      <c r="M32" s="2006"/>
      <c r="N32" s="2006"/>
      <c r="O32" s="2006"/>
      <c r="P32" s="2006"/>
      <c r="Q32" s="2007"/>
      <c r="R32" s="1967"/>
      <c r="S32" s="88"/>
      <c r="T32" s="88"/>
      <c r="U32" s="88"/>
      <c r="V32" s="88"/>
      <c r="W32" s="88"/>
      <c r="X32" s="89"/>
      <c r="Y32" s="89"/>
      <c r="Z32" s="89"/>
    </row>
    <row r="33" spans="1:27">
      <c r="A33" s="1960"/>
      <c r="B33" s="1999"/>
      <c r="C33" s="2000"/>
      <c r="D33" s="2001"/>
      <c r="E33" s="2021" t="s">
        <v>1536</v>
      </c>
      <c r="F33" s="2003" t="s">
        <v>1668</v>
      </c>
      <c r="G33" s="2004"/>
      <c r="H33" s="2008">
        <f>ROUND(kl(F33),Config!$C$104)</f>
        <v>-4.7699999999999999E-2</v>
      </c>
      <c r="I33" s="2006"/>
      <c r="J33" s="2006"/>
      <c r="K33" s="2006"/>
      <c r="L33" s="2006"/>
      <c r="M33" s="2006"/>
      <c r="N33" s="2006"/>
      <c r="O33" s="2006"/>
      <c r="P33" s="2006"/>
      <c r="Q33" s="2007"/>
      <c r="R33" s="1967"/>
      <c r="S33" s="88"/>
      <c r="T33" s="88"/>
      <c r="U33" s="88"/>
      <c r="V33" s="88"/>
      <c r="W33" s="88"/>
      <c r="X33" s="89"/>
      <c r="Y33" s="89"/>
      <c r="Z33" s="89"/>
    </row>
    <row r="34" spans="1:27">
      <c r="A34" s="1960"/>
      <c r="B34" s="1999"/>
      <c r="C34" s="2000"/>
      <c r="D34" s="2001"/>
      <c r="E34" s="2021" t="s">
        <v>1536</v>
      </c>
      <c r="F34" s="2003" t="s">
        <v>1669</v>
      </c>
      <c r="G34" s="2004"/>
      <c r="H34" s="2008">
        <f>ROUND(kl(F34),Config!$C$104)</f>
        <v>-5.3100000000000001E-2</v>
      </c>
      <c r="I34" s="2006"/>
      <c r="J34" s="2006"/>
      <c r="K34" s="2006"/>
      <c r="L34" s="2006"/>
      <c r="M34" s="2006"/>
      <c r="N34" s="2006"/>
      <c r="O34" s="2006"/>
      <c r="P34" s="2006"/>
      <c r="Q34" s="2007"/>
      <c r="R34" s="1967"/>
      <c r="S34" s="88"/>
      <c r="T34" s="88"/>
      <c r="U34" s="88"/>
      <c r="V34" s="88"/>
      <c r="W34" s="88"/>
      <c r="X34" s="89"/>
      <c r="Y34" s="89"/>
      <c r="Z34" s="89"/>
    </row>
    <row r="35" spans="1:27">
      <c r="A35" s="1960"/>
      <c r="B35" s="1999"/>
      <c r="C35" s="2000"/>
      <c r="D35" s="2001"/>
      <c r="E35" s="2021" t="s">
        <v>1536</v>
      </c>
      <c r="F35" s="2003" t="s">
        <v>1667</v>
      </c>
      <c r="G35" s="2004"/>
      <c r="H35" s="2008">
        <f>ROUND(kl(F35),Config!$C$104)</f>
        <v>-1.0200000000000001E-2</v>
      </c>
      <c r="I35" s="2006"/>
      <c r="J35" s="2006"/>
      <c r="K35" s="2006"/>
      <c r="L35" s="2006"/>
      <c r="M35" s="2006"/>
      <c r="N35" s="2006"/>
      <c r="O35" s="2006"/>
      <c r="P35" s="2006"/>
      <c r="Q35" s="2007"/>
      <c r="R35" s="1967"/>
      <c r="S35" s="88"/>
      <c r="T35" s="88"/>
      <c r="U35" s="88"/>
      <c r="V35" s="88"/>
      <c r="W35" s="88"/>
      <c r="X35" s="89"/>
      <c r="Y35" s="89"/>
      <c r="Z35" s="89"/>
    </row>
    <row r="36" spans="1:27">
      <c r="A36" s="1960"/>
      <c r="B36" s="1999"/>
      <c r="C36" s="2000"/>
      <c r="D36" s="2001"/>
      <c r="E36" s="2021" t="s">
        <v>1536</v>
      </c>
      <c r="F36" s="2003" t="s">
        <v>1670</v>
      </c>
      <c r="G36" s="2004"/>
      <c r="H36" s="2008">
        <f>ROUND(kl(F36),Config!$C$104)</f>
        <v>-1.2E-2</v>
      </c>
      <c r="I36" s="2006"/>
      <c r="J36" s="2006"/>
      <c r="K36" s="2006"/>
      <c r="L36" s="2006"/>
      <c r="M36" s="2006"/>
      <c r="N36" s="2006"/>
      <c r="O36" s="2006"/>
      <c r="P36" s="2006"/>
      <c r="Q36" s="2007"/>
      <c r="R36" s="1967"/>
      <c r="S36" s="88"/>
      <c r="T36" s="88"/>
      <c r="U36" s="88"/>
      <c r="V36" s="88"/>
      <c r="W36" s="88"/>
      <c r="X36" s="89"/>
      <c r="Y36" s="89"/>
      <c r="Z36" s="89"/>
    </row>
    <row r="37" spans="1:27">
      <c r="A37" s="1960"/>
      <c r="B37" s="1999"/>
      <c r="C37" s="2000"/>
      <c r="D37" s="2001"/>
      <c r="E37" s="2021" t="s">
        <v>1536</v>
      </c>
      <c r="F37" s="2003" t="s">
        <v>1650</v>
      </c>
      <c r="G37" s="2004"/>
      <c r="H37" s="2005"/>
      <c r="I37" s="2006"/>
      <c r="J37" s="2006"/>
      <c r="K37" s="2006"/>
      <c r="L37" s="2006"/>
      <c r="M37" s="2006"/>
      <c r="N37" s="2006"/>
      <c r="O37" s="2006"/>
      <c r="P37" s="2006"/>
      <c r="Q37" s="2007"/>
      <c r="R37" s="1967"/>
      <c r="S37" s="88"/>
      <c r="T37" s="88"/>
      <c r="U37" s="88"/>
      <c r="V37" s="88"/>
      <c r="W37" s="88"/>
      <c r="X37" s="89"/>
      <c r="Y37" s="89"/>
      <c r="Z37" s="89"/>
    </row>
    <row r="38" spans="1:27" ht="31.5">
      <c r="A38" s="1960"/>
      <c r="B38" s="1999"/>
      <c r="C38" s="2000"/>
      <c r="D38" s="2001"/>
      <c r="E38" s="2021" t="s">
        <v>1536</v>
      </c>
      <c r="F38" s="2003" t="s">
        <v>1671</v>
      </c>
      <c r="G38" s="2004"/>
      <c r="H38" s="2008">
        <f>ROUND(kl(F38),Config!$C$104)</f>
        <v>-1.1999999999999999E-3</v>
      </c>
      <c r="I38" s="2006"/>
      <c r="J38" s="2006"/>
      <c r="K38" s="2006"/>
      <c r="L38" s="2006"/>
      <c r="M38" s="2006"/>
      <c r="N38" s="2006"/>
      <c r="O38" s="2006"/>
      <c r="P38" s="2006"/>
      <c r="Q38" s="2007"/>
      <c r="R38" s="1967"/>
      <c r="S38" s="88"/>
      <c r="T38" s="88"/>
      <c r="U38" s="88"/>
      <c r="V38" s="88"/>
      <c r="W38" s="88"/>
      <c r="X38" s="89"/>
      <c r="Y38" s="89"/>
      <c r="Z38" s="89"/>
    </row>
    <row r="39" spans="1:27" ht="31.5">
      <c r="A39" s="1960"/>
      <c r="B39" s="1999"/>
      <c r="C39" s="2000"/>
      <c r="D39" s="2001"/>
      <c r="E39" s="2021" t="s">
        <v>1536</v>
      </c>
      <c r="F39" s="2003" t="s">
        <v>1672</v>
      </c>
      <c r="G39" s="2004"/>
      <c r="H39" s="2008">
        <f xml:space="preserve"> -1*(13.2+0.11 *2)*0.4*0.18/100</f>
        <v>-9.6623999999999998E-3</v>
      </c>
      <c r="I39" s="2006"/>
      <c r="J39" s="2006"/>
      <c r="K39" s="2006"/>
      <c r="L39" s="2006"/>
      <c r="M39" s="2006"/>
      <c r="N39" s="2006"/>
      <c r="O39" s="2006"/>
      <c r="P39" s="2006"/>
      <c r="Q39" s="2007"/>
      <c r="R39" s="1967"/>
      <c r="S39" s="88"/>
      <c r="T39" s="88"/>
      <c r="U39" s="88"/>
      <c r="V39" s="88"/>
      <c r="W39" s="88"/>
      <c r="X39" s="89"/>
      <c r="Y39" s="89"/>
      <c r="Z39" s="89"/>
    </row>
    <row r="40" spans="1:27" ht="47.25">
      <c r="A40" s="2080">
        <v>63</v>
      </c>
      <c r="B40" s="2081">
        <v>3</v>
      </c>
      <c r="C40" s="2078" t="s">
        <v>1536</v>
      </c>
      <c r="D40" s="2082" t="s">
        <v>1538</v>
      </c>
      <c r="E40" s="2083" t="s">
        <v>1538</v>
      </c>
      <c r="F40" s="2089" t="s">
        <v>1841</v>
      </c>
      <c r="G40" s="2079" t="s">
        <v>1829</v>
      </c>
      <c r="H40" s="2088">
        <f>SUM(H41:H46)</f>
        <v>0.29179999999999995</v>
      </c>
      <c r="I40" s="2085"/>
      <c r="J40" s="2085"/>
      <c r="K40" s="2121">
        <f>'Don gia XD'!M41</f>
        <v>1489865</v>
      </c>
      <c r="L40" s="2121">
        <f>'Don gia XD'!M43</f>
        <v>547447</v>
      </c>
      <c r="M40" s="2085">
        <f ca="1">'Don gia XD'!M55</f>
        <v>2752213.5004953593</v>
      </c>
      <c r="N40" s="2085">
        <f>H40*I40</f>
        <v>0</v>
      </c>
      <c r="O40" s="2085">
        <f>H40*J40</f>
        <v>0</v>
      </c>
      <c r="P40" s="2085">
        <f>H40*K40</f>
        <v>434742.6069999999</v>
      </c>
      <c r="Q40" s="2086">
        <f>H40*L40</f>
        <v>159745.03459999998</v>
      </c>
      <c r="R40" s="2076">
        <f ca="1">H40*M40</f>
        <v>803095.89944454574</v>
      </c>
      <c r="S40" s="2087"/>
      <c r="T40" s="2087"/>
      <c r="U40" s="2087"/>
      <c r="V40" s="2087"/>
      <c r="W40" s="2087"/>
      <c r="X40" s="2088"/>
      <c r="Y40" s="2088"/>
      <c r="Z40" s="2088"/>
      <c r="AA40" s="79" t="s">
        <v>1830</v>
      </c>
    </row>
    <row r="41" spans="1:27">
      <c r="A41" s="1960"/>
      <c r="B41" s="1999"/>
      <c r="C41" s="2000"/>
      <c r="D41" s="2001"/>
      <c r="E41" s="2021" t="s">
        <v>1536</v>
      </c>
      <c r="F41" s="2003" t="s">
        <v>1825</v>
      </c>
      <c r="G41" s="2004"/>
      <c r="H41" s="2008"/>
      <c r="I41" s="2006"/>
      <c r="J41" s="2006"/>
      <c r="K41" s="2006"/>
      <c r="L41" s="2006"/>
      <c r="M41" s="2006"/>
      <c r="N41" s="2006"/>
      <c r="O41" s="2006"/>
      <c r="P41" s="2006"/>
      <c r="Q41" s="2007"/>
      <c r="R41" s="1967"/>
      <c r="S41" s="88"/>
      <c r="T41" s="88"/>
      <c r="U41" s="88"/>
      <c r="V41" s="88"/>
      <c r="W41" s="88"/>
      <c r="X41" s="89"/>
      <c r="Y41" s="89"/>
      <c r="Z41" s="89"/>
    </row>
    <row r="42" spans="1:27" ht="47.25">
      <c r="A42" s="1960"/>
      <c r="B42" s="1999"/>
      <c r="C42" s="2000"/>
      <c r="D42" s="2001"/>
      <c r="E42" s="2021" t="s">
        <v>1536</v>
      </c>
      <c r="F42" s="2003" t="s">
        <v>1673</v>
      </c>
      <c r="G42" s="2004"/>
      <c r="H42" s="2008">
        <f>ROUND(kl(F42),Config!$C$104)</f>
        <v>2.76E-2</v>
      </c>
      <c r="I42" s="2006"/>
      <c r="J42" s="2006"/>
      <c r="K42" s="2006"/>
      <c r="L42" s="2006"/>
      <c r="M42" s="2006"/>
      <c r="N42" s="2006"/>
      <c r="O42" s="2006"/>
      <c r="P42" s="2006"/>
      <c r="Q42" s="2007"/>
      <c r="R42" s="1967"/>
      <c r="S42" s="88"/>
      <c r="T42" s="88"/>
      <c r="U42" s="88"/>
      <c r="V42" s="88"/>
      <c r="W42" s="88"/>
      <c r="X42" s="89"/>
      <c r="Y42" s="89"/>
      <c r="Z42" s="89"/>
    </row>
    <row r="43" spans="1:27" ht="31.5">
      <c r="A43" s="1960"/>
      <c r="B43" s="1999"/>
      <c r="C43" s="2000"/>
      <c r="D43" s="2001"/>
      <c r="E43" s="2021" t="s">
        <v>1536</v>
      </c>
      <c r="F43" s="2003" t="s">
        <v>1674</v>
      </c>
      <c r="G43" s="2004"/>
      <c r="H43" s="2008">
        <f>ROUND(kl(F43),Config!$C$104)</f>
        <v>0.13339999999999999</v>
      </c>
      <c r="I43" s="2006"/>
      <c r="J43" s="2006"/>
      <c r="K43" s="2006"/>
      <c r="L43" s="2006"/>
      <c r="M43" s="2006"/>
      <c r="N43" s="2006"/>
      <c r="O43" s="2006"/>
      <c r="P43" s="2006"/>
      <c r="Q43" s="2007"/>
      <c r="R43" s="1967"/>
      <c r="S43" s="88"/>
      <c r="T43" s="88"/>
      <c r="U43" s="88"/>
      <c r="V43" s="88"/>
      <c r="W43" s="88"/>
      <c r="X43" s="89"/>
      <c r="Y43" s="89"/>
      <c r="Z43" s="89"/>
    </row>
    <row r="44" spans="1:27">
      <c r="A44" s="1960"/>
      <c r="B44" s="1999"/>
      <c r="C44" s="2000"/>
      <c r="D44" s="2001"/>
      <c r="E44" s="2021" t="s">
        <v>1536</v>
      </c>
      <c r="F44" s="2003" t="s">
        <v>1826</v>
      </c>
      <c r="G44" s="2004"/>
      <c r="H44" s="2008"/>
      <c r="I44" s="2006"/>
      <c r="J44" s="2006"/>
      <c r="K44" s="2006"/>
      <c r="L44" s="2006"/>
      <c r="M44" s="2006"/>
      <c r="N44" s="2006"/>
      <c r="O44" s="2006"/>
      <c r="P44" s="2006"/>
      <c r="Q44" s="2007"/>
      <c r="R44" s="1967"/>
      <c r="S44" s="88"/>
      <c r="T44" s="88"/>
      <c r="U44" s="88"/>
      <c r="V44" s="88"/>
      <c r="W44" s="88"/>
      <c r="X44" s="89"/>
      <c r="Y44" s="89"/>
      <c r="Z44" s="89"/>
    </row>
    <row r="45" spans="1:27" ht="47.25">
      <c r="A45" s="1960"/>
      <c r="B45" s="1999"/>
      <c r="C45" s="2000"/>
      <c r="D45" s="2001"/>
      <c r="E45" s="2021" t="s">
        <v>1536</v>
      </c>
      <c r="F45" s="2003" t="s">
        <v>1675</v>
      </c>
      <c r="G45" s="2004"/>
      <c r="H45" s="2008">
        <f>ROUND(kl(F45),Config!$C$104)</f>
        <v>2.23E-2</v>
      </c>
      <c r="I45" s="2006"/>
      <c r="J45" s="2006"/>
      <c r="K45" s="2006"/>
      <c r="L45" s="2006"/>
      <c r="M45" s="2006"/>
      <c r="N45" s="2006"/>
      <c r="O45" s="2006"/>
      <c r="P45" s="2006"/>
      <c r="Q45" s="2007"/>
      <c r="R45" s="1967"/>
      <c r="S45" s="88"/>
      <c r="T45" s="88"/>
      <c r="U45" s="88"/>
      <c r="V45" s="88"/>
      <c r="W45" s="88"/>
      <c r="X45" s="89"/>
      <c r="Y45" s="89"/>
      <c r="Z45" s="89"/>
    </row>
    <row r="46" spans="1:27" ht="31.5">
      <c r="A46" s="1960"/>
      <c r="B46" s="1999"/>
      <c r="C46" s="2000"/>
      <c r="D46" s="2001"/>
      <c r="E46" s="2021" t="s">
        <v>1536</v>
      </c>
      <c r="F46" s="2003" t="s">
        <v>1676</v>
      </c>
      <c r="G46" s="2004"/>
      <c r="H46" s="2008">
        <f>ROUND(kl(F46),Config!$C$104)</f>
        <v>0.1085</v>
      </c>
      <c r="I46" s="2006"/>
      <c r="J46" s="2006"/>
      <c r="K46" s="2006"/>
      <c r="L46" s="2006"/>
      <c r="M46" s="2006"/>
      <c r="N46" s="2006"/>
      <c r="O46" s="2006"/>
      <c r="P46" s="2006"/>
      <c r="Q46" s="2007"/>
      <c r="R46" s="1967"/>
      <c r="S46" s="88"/>
      <c r="T46" s="88"/>
      <c r="U46" s="88"/>
      <c r="V46" s="88"/>
      <c r="W46" s="88"/>
      <c r="X46" s="89"/>
      <c r="Y46" s="89"/>
      <c r="Z46" s="89"/>
    </row>
    <row r="47" spans="1:27" ht="47.25">
      <c r="A47" s="2080">
        <v>64</v>
      </c>
      <c r="B47" s="2081">
        <v>4</v>
      </c>
      <c r="C47" s="2078" t="s">
        <v>1536</v>
      </c>
      <c r="D47" s="2082" t="s">
        <v>1539</v>
      </c>
      <c r="E47" s="2083" t="s">
        <v>1539</v>
      </c>
      <c r="F47" s="2089" t="s">
        <v>1842</v>
      </c>
      <c r="G47" s="2079" t="s">
        <v>1829</v>
      </c>
      <c r="H47" s="2088">
        <f>SUM(H48:H52)</f>
        <v>1.7800000000000038E-2</v>
      </c>
      <c r="I47" s="2085"/>
      <c r="J47" s="2085"/>
      <c r="K47" s="2085"/>
      <c r="L47" s="2121">
        <f>'Don gia XD'!M57</f>
        <v>1929340</v>
      </c>
      <c r="M47" s="2085">
        <f ca="1">'Don gia XD'!M69</f>
        <v>2606353.6635752004</v>
      </c>
      <c r="N47" s="2085">
        <f>H47*I47</f>
        <v>0</v>
      </c>
      <c r="O47" s="2085">
        <f>H47*J47</f>
        <v>0</v>
      </c>
      <c r="P47" s="2085">
        <f>H47*K47</f>
        <v>0</v>
      </c>
      <c r="Q47" s="2086">
        <f>H47*L47</f>
        <v>34342.252000000073</v>
      </c>
      <c r="R47" s="2076">
        <f ca="1">H47*M47</f>
        <v>46393.095211638669</v>
      </c>
      <c r="S47" s="2087"/>
      <c r="T47" s="2087"/>
      <c r="U47" s="2087"/>
      <c r="V47" s="2087"/>
      <c r="W47" s="2087"/>
      <c r="X47" s="2088"/>
      <c r="Y47" s="2088"/>
      <c r="Z47" s="2088"/>
      <c r="AA47" s="79" t="s">
        <v>1830</v>
      </c>
    </row>
    <row r="48" spans="1:27">
      <c r="A48" s="1960"/>
      <c r="B48" s="1999"/>
      <c r="C48" s="2000"/>
      <c r="D48" s="2001"/>
      <c r="E48" s="2021" t="s">
        <v>1536</v>
      </c>
      <c r="F48" s="2003" t="s">
        <v>1591</v>
      </c>
      <c r="G48" s="2004"/>
      <c r="H48" s="2005"/>
      <c r="I48" s="2006"/>
      <c r="J48" s="2006"/>
      <c r="K48" s="2006"/>
      <c r="L48" s="2006"/>
      <c r="M48" s="2006"/>
      <c r="N48" s="2006"/>
      <c r="O48" s="2006"/>
      <c r="P48" s="2006"/>
      <c r="Q48" s="2007"/>
      <c r="R48" s="1967"/>
      <c r="S48" s="88"/>
      <c r="T48" s="88"/>
      <c r="U48" s="88"/>
      <c r="V48" s="88"/>
      <c r="W48" s="88"/>
      <c r="X48" s="89"/>
      <c r="Y48" s="89"/>
      <c r="Z48" s="89"/>
    </row>
    <row r="49" spans="1:27">
      <c r="A49" s="1960"/>
      <c r="B49" s="1999"/>
      <c r="C49" s="2000"/>
      <c r="D49" s="2001"/>
      <c r="E49" s="2021" t="s">
        <v>1536</v>
      </c>
      <c r="F49" s="2003" t="s">
        <v>1592</v>
      </c>
      <c r="G49" s="2004"/>
      <c r="H49" s="2008">
        <f>ROUND(kl(F49),Config!$C$104)</f>
        <v>-0.32319999999999999</v>
      </c>
      <c r="I49" s="2006"/>
      <c r="J49" s="2006"/>
      <c r="K49" s="2006"/>
      <c r="L49" s="2006"/>
      <c r="M49" s="2006"/>
      <c r="N49" s="2006"/>
      <c r="O49" s="2006"/>
      <c r="P49" s="2006"/>
      <c r="Q49" s="2007"/>
      <c r="R49" s="1967"/>
      <c r="S49" s="88"/>
      <c r="T49" s="88"/>
      <c r="U49" s="88"/>
      <c r="V49" s="88"/>
      <c r="W49" s="88"/>
      <c r="X49" s="89"/>
      <c r="Y49" s="89"/>
      <c r="Z49" s="89"/>
    </row>
    <row r="50" spans="1:27">
      <c r="A50" s="1960"/>
      <c r="B50" s="1999"/>
      <c r="C50" s="2000"/>
      <c r="D50" s="2001"/>
      <c r="E50" s="2021" t="s">
        <v>1536</v>
      </c>
      <c r="F50" s="2003" t="s">
        <v>1593</v>
      </c>
      <c r="G50" s="2004"/>
      <c r="H50" s="2005"/>
      <c r="I50" s="2006"/>
      <c r="J50" s="2006"/>
      <c r="K50" s="2006"/>
      <c r="L50" s="2006"/>
      <c r="M50" s="2006"/>
      <c r="N50" s="2006"/>
      <c r="O50" s="2006"/>
      <c r="P50" s="2006"/>
      <c r="Q50" s="2007"/>
      <c r="R50" s="1967"/>
      <c r="S50" s="88"/>
      <c r="T50" s="88"/>
      <c r="U50" s="88"/>
      <c r="V50" s="88"/>
      <c r="W50" s="88"/>
      <c r="X50" s="89"/>
      <c r="Y50" s="89"/>
      <c r="Z50" s="89"/>
    </row>
    <row r="51" spans="1:27">
      <c r="A51" s="1960"/>
      <c r="B51" s="1999"/>
      <c r="C51" s="2000"/>
      <c r="D51" s="2001"/>
      <c r="E51" s="2021" t="s">
        <v>1536</v>
      </c>
      <c r="F51" s="2003" t="s">
        <v>1594</v>
      </c>
      <c r="G51" s="2004"/>
      <c r="H51" s="2008">
        <f>ROUND(kl(F51),Config!$C$104)</f>
        <v>4.9200000000000001E-2</v>
      </c>
      <c r="I51" s="2006"/>
      <c r="J51" s="2006"/>
      <c r="K51" s="2006"/>
      <c r="L51" s="2006"/>
      <c r="M51" s="2006"/>
      <c r="N51" s="2006"/>
      <c r="O51" s="2006"/>
      <c r="P51" s="2006"/>
      <c r="Q51" s="2007"/>
      <c r="R51" s="1967"/>
      <c r="S51" s="88"/>
      <c r="T51" s="88"/>
      <c r="U51" s="88"/>
      <c r="V51" s="88"/>
      <c r="W51" s="88"/>
      <c r="X51" s="89"/>
      <c r="Y51" s="89"/>
      <c r="Z51" s="89"/>
    </row>
    <row r="52" spans="1:27">
      <c r="A52" s="1960"/>
      <c r="B52" s="1999"/>
      <c r="C52" s="2000"/>
      <c r="D52" s="2001"/>
      <c r="E52" s="2021" t="s">
        <v>1536</v>
      </c>
      <c r="F52" s="2003" t="s">
        <v>1595</v>
      </c>
      <c r="G52" s="2004"/>
      <c r="H52" s="2008">
        <f>ROUND(kl(F52),Config!$C$104)</f>
        <v>0.2918</v>
      </c>
      <c r="I52" s="2006"/>
      <c r="J52" s="2006"/>
      <c r="K52" s="2006"/>
      <c r="L52" s="2006"/>
      <c r="M52" s="2006"/>
      <c r="N52" s="2006"/>
      <c r="O52" s="2006"/>
      <c r="P52" s="2006"/>
      <c r="Q52" s="2007"/>
      <c r="R52" s="1967"/>
      <c r="S52" s="88"/>
      <c r="T52" s="88"/>
      <c r="U52" s="88"/>
      <c r="V52" s="88"/>
      <c r="W52" s="88"/>
      <c r="X52" s="89"/>
      <c r="Y52" s="89"/>
      <c r="Z52" s="89"/>
    </row>
    <row r="53" spans="1:27" ht="47.25">
      <c r="A53" s="2080">
        <v>65</v>
      </c>
      <c r="B53" s="2081">
        <v>5</v>
      </c>
      <c r="C53" s="2078" t="s">
        <v>1536</v>
      </c>
      <c r="D53" s="2082" t="s">
        <v>1540</v>
      </c>
      <c r="E53" s="2083" t="s">
        <v>1540</v>
      </c>
      <c r="F53" s="2089" t="s">
        <v>1845</v>
      </c>
      <c r="G53" s="2079" t="s">
        <v>1829</v>
      </c>
      <c r="H53" s="2088">
        <f>SUM(H54:H62)</f>
        <v>2.5499999999999998E-2</v>
      </c>
      <c r="I53" s="2121">
        <f>'Don gia XD'!M71</f>
        <v>10370000</v>
      </c>
      <c r="J53" s="2085"/>
      <c r="K53" s="2121">
        <f>'Don gia XD'!M73</f>
        <v>873441</v>
      </c>
      <c r="L53" s="2121">
        <f>'Don gia XD'!M75</f>
        <v>256245</v>
      </c>
      <c r="M53" s="2085">
        <f ca="1">'Don gia XD'!M88</f>
        <v>15534975.036056083</v>
      </c>
      <c r="N53" s="2085">
        <f>H53*I53</f>
        <v>264435</v>
      </c>
      <c r="O53" s="2085">
        <f>H53*J53</f>
        <v>0</v>
      </c>
      <c r="P53" s="2085">
        <f>H53*K53</f>
        <v>22272.745499999997</v>
      </c>
      <c r="Q53" s="2086">
        <f>H53*L53</f>
        <v>6534.2474999999995</v>
      </c>
      <c r="R53" s="2076">
        <f ca="1">H53*M53</f>
        <v>396141.8634194301</v>
      </c>
      <c r="S53" s="2087"/>
      <c r="T53" s="2087"/>
      <c r="U53" s="2087"/>
      <c r="V53" s="2087"/>
      <c r="W53" s="2087"/>
      <c r="X53" s="2088"/>
      <c r="Y53" s="2088"/>
      <c r="Z53" s="2088"/>
      <c r="AA53" s="79" t="s">
        <v>1830</v>
      </c>
    </row>
    <row r="54" spans="1:27">
      <c r="A54" s="1960"/>
      <c r="B54" s="1999"/>
      <c r="C54" s="2000"/>
      <c r="D54" s="2001"/>
      <c r="E54" s="2021" t="s">
        <v>1536</v>
      </c>
      <c r="F54" s="2003" t="s">
        <v>1648</v>
      </c>
      <c r="G54" s="2004"/>
      <c r="H54" s="2005"/>
      <c r="I54" s="2006"/>
      <c r="J54" s="2006"/>
      <c r="K54" s="2006"/>
      <c r="L54" s="2006"/>
      <c r="M54" s="2006"/>
      <c r="N54" s="2006"/>
      <c r="O54" s="2006"/>
      <c r="P54" s="2006"/>
      <c r="Q54" s="2007"/>
      <c r="R54" s="1967"/>
      <c r="S54" s="88"/>
      <c r="T54" s="88"/>
      <c r="U54" s="88"/>
      <c r="V54" s="88"/>
      <c r="W54" s="88"/>
      <c r="X54" s="89"/>
      <c r="Y54" s="89"/>
      <c r="Z54" s="89"/>
    </row>
    <row r="55" spans="1:27">
      <c r="A55" s="1960"/>
      <c r="B55" s="1999"/>
      <c r="C55" s="2000"/>
      <c r="D55" s="2001"/>
      <c r="E55" s="2021" t="s">
        <v>1536</v>
      </c>
      <c r="F55" s="2003" t="s">
        <v>1677</v>
      </c>
      <c r="G55" s="2004"/>
      <c r="H55" s="2008">
        <f>ROUND(kl(F55),Config!$C$104)</f>
        <v>5.0000000000000001E-3</v>
      </c>
      <c r="I55" s="2006"/>
      <c r="J55" s="2006"/>
      <c r="K55" s="2006"/>
      <c r="L55" s="2006"/>
      <c r="M55" s="2006"/>
      <c r="N55" s="2006"/>
      <c r="O55" s="2006"/>
      <c r="P55" s="2006"/>
      <c r="Q55" s="2007"/>
      <c r="R55" s="1967"/>
      <c r="S55" s="88"/>
      <c r="T55" s="88"/>
      <c r="U55" s="88"/>
      <c r="V55" s="88"/>
      <c r="W55" s="88"/>
      <c r="X55" s="89"/>
      <c r="Y55" s="89"/>
      <c r="Z55" s="89"/>
    </row>
    <row r="56" spans="1:27">
      <c r="A56" s="1960"/>
      <c r="B56" s="1999"/>
      <c r="C56" s="2000"/>
      <c r="D56" s="2001"/>
      <c r="E56" s="2021" t="s">
        <v>1536</v>
      </c>
      <c r="F56" s="2003" t="s">
        <v>1678</v>
      </c>
      <c r="G56" s="2004"/>
      <c r="H56" s="2008">
        <f>ROUND(kl(F56),Config!$C$104)</f>
        <v>5.5999999999999999E-3</v>
      </c>
      <c r="I56" s="2006"/>
      <c r="J56" s="2006"/>
      <c r="K56" s="2006"/>
      <c r="L56" s="2006"/>
      <c r="M56" s="2006"/>
      <c r="N56" s="2006"/>
      <c r="O56" s="2006"/>
      <c r="P56" s="2006"/>
      <c r="Q56" s="2007"/>
      <c r="R56" s="1967"/>
      <c r="S56" s="88"/>
      <c r="T56" s="88"/>
      <c r="U56" s="88"/>
      <c r="V56" s="88"/>
      <c r="W56" s="88"/>
      <c r="X56" s="89"/>
      <c r="Y56" s="89"/>
      <c r="Z56" s="89"/>
    </row>
    <row r="57" spans="1:27">
      <c r="A57" s="1960"/>
      <c r="B57" s="1999"/>
      <c r="C57" s="2000"/>
      <c r="D57" s="2001"/>
      <c r="E57" s="2021" t="s">
        <v>1536</v>
      </c>
      <c r="F57" s="2003" t="s">
        <v>1649</v>
      </c>
      <c r="G57" s="2004"/>
      <c r="H57" s="2005"/>
      <c r="I57" s="2006"/>
      <c r="J57" s="2006"/>
      <c r="K57" s="2006"/>
      <c r="L57" s="2006"/>
      <c r="M57" s="2006"/>
      <c r="N57" s="2006"/>
      <c r="O57" s="2006"/>
      <c r="P57" s="2006"/>
      <c r="Q57" s="2007"/>
      <c r="R57" s="1967"/>
      <c r="S57" s="88"/>
      <c r="T57" s="88"/>
      <c r="U57" s="88"/>
      <c r="V57" s="88"/>
      <c r="W57" s="88"/>
      <c r="X57" s="89"/>
      <c r="Y57" s="89"/>
      <c r="Z57" s="89"/>
    </row>
    <row r="58" spans="1:27">
      <c r="A58" s="1960"/>
      <c r="B58" s="1999"/>
      <c r="C58" s="2000"/>
      <c r="D58" s="2001"/>
      <c r="E58" s="2021" t="s">
        <v>1536</v>
      </c>
      <c r="F58" s="2003" t="s">
        <v>1678</v>
      </c>
      <c r="G58" s="2004"/>
      <c r="H58" s="2008">
        <f>ROUND(kl(F58),Config!$C$104)</f>
        <v>5.5999999999999999E-3</v>
      </c>
      <c r="I58" s="2006"/>
      <c r="J58" s="2006"/>
      <c r="K58" s="2006"/>
      <c r="L58" s="2006"/>
      <c r="M58" s="2006"/>
      <c r="N58" s="2006"/>
      <c r="O58" s="2006"/>
      <c r="P58" s="2006"/>
      <c r="Q58" s="2007"/>
      <c r="R58" s="1967"/>
      <c r="S58" s="88"/>
      <c r="T58" s="88"/>
      <c r="U58" s="88"/>
      <c r="V58" s="88"/>
      <c r="W58" s="88"/>
      <c r="X58" s="89"/>
      <c r="Y58" s="89"/>
      <c r="Z58" s="89"/>
    </row>
    <row r="59" spans="1:27">
      <c r="A59" s="1960"/>
      <c r="B59" s="1999"/>
      <c r="C59" s="2000"/>
      <c r="D59" s="2001"/>
      <c r="E59" s="2021" t="s">
        <v>1536</v>
      </c>
      <c r="F59" s="2003" t="s">
        <v>1679</v>
      </c>
      <c r="G59" s="2004"/>
      <c r="H59" s="2008">
        <f>ROUND(kl(F59),Config!$C$104)</f>
        <v>5.4999999999999997E-3</v>
      </c>
      <c r="I59" s="2006"/>
      <c r="J59" s="2006"/>
      <c r="K59" s="2006"/>
      <c r="L59" s="2006"/>
      <c r="M59" s="2006"/>
      <c r="N59" s="2006"/>
      <c r="O59" s="2006"/>
      <c r="P59" s="2006"/>
      <c r="Q59" s="2007"/>
      <c r="R59" s="1967"/>
      <c r="S59" s="88"/>
      <c r="T59" s="88"/>
      <c r="U59" s="88"/>
      <c r="V59" s="88"/>
      <c r="W59" s="88"/>
      <c r="X59" s="89"/>
      <c r="Y59" s="89"/>
      <c r="Z59" s="89"/>
    </row>
    <row r="60" spans="1:27">
      <c r="A60" s="1960"/>
      <c r="B60" s="1999"/>
      <c r="C60" s="2000"/>
      <c r="D60" s="2001"/>
      <c r="E60" s="2021" t="s">
        <v>1536</v>
      </c>
      <c r="F60" s="2003" t="s">
        <v>1650</v>
      </c>
      <c r="G60" s="2004"/>
      <c r="H60" s="2005"/>
      <c r="I60" s="2006"/>
      <c r="J60" s="2006"/>
      <c r="K60" s="2006"/>
      <c r="L60" s="2006"/>
      <c r="M60" s="2006"/>
      <c r="N60" s="2006"/>
      <c r="O60" s="2006"/>
      <c r="P60" s="2006"/>
      <c r="Q60" s="2007"/>
      <c r="R60" s="1967"/>
      <c r="S60" s="88"/>
      <c r="T60" s="88"/>
      <c r="U60" s="88"/>
      <c r="V60" s="88"/>
      <c r="W60" s="88"/>
      <c r="X60" s="89"/>
      <c r="Y60" s="89"/>
      <c r="Z60" s="89"/>
    </row>
    <row r="61" spans="1:27">
      <c r="A61" s="1960"/>
      <c r="B61" s="1999"/>
      <c r="C61" s="2000"/>
      <c r="D61" s="2001"/>
      <c r="E61" s="2021" t="s">
        <v>1536</v>
      </c>
      <c r="F61" s="2003" t="s">
        <v>1680</v>
      </c>
      <c r="G61" s="2004"/>
      <c r="H61" s="2008">
        <f>ROUND(kl(F61),Config!$C$104)</f>
        <v>4.0000000000000002E-4</v>
      </c>
      <c r="I61" s="2006"/>
      <c r="J61" s="2006"/>
      <c r="K61" s="2006"/>
      <c r="L61" s="2006"/>
      <c r="M61" s="2006"/>
      <c r="N61" s="2006"/>
      <c r="O61" s="2006"/>
      <c r="P61" s="2006"/>
      <c r="Q61" s="2007"/>
      <c r="R61" s="1967"/>
      <c r="S61" s="88"/>
      <c r="T61" s="88"/>
      <c r="U61" s="88"/>
      <c r="V61" s="88"/>
      <c r="W61" s="88"/>
      <c r="X61" s="89"/>
      <c r="Y61" s="89"/>
      <c r="Z61" s="89"/>
    </row>
    <row r="62" spans="1:27">
      <c r="A62" s="1960"/>
      <c r="B62" s="1999"/>
      <c r="C62" s="2000"/>
      <c r="D62" s="2001"/>
      <c r="E62" s="2021" t="s">
        <v>1536</v>
      </c>
      <c r="F62" s="2003" t="s">
        <v>1681</v>
      </c>
      <c r="G62" s="2004"/>
      <c r="H62" s="2008">
        <f>ROUND(kl(F62),Config!$C$104)</f>
        <v>3.3999999999999998E-3</v>
      </c>
      <c r="I62" s="2006"/>
      <c r="J62" s="2006"/>
      <c r="K62" s="2006"/>
      <c r="L62" s="2006"/>
      <c r="M62" s="2006"/>
      <c r="N62" s="2006"/>
      <c r="O62" s="2006"/>
      <c r="P62" s="2006"/>
      <c r="Q62" s="2007"/>
      <c r="R62" s="1967"/>
      <c r="S62" s="88"/>
      <c r="T62" s="88"/>
      <c r="U62" s="88"/>
      <c r="V62" s="88"/>
      <c r="W62" s="88"/>
      <c r="X62" s="89"/>
      <c r="Y62" s="89"/>
      <c r="Z62" s="89"/>
    </row>
    <row r="63" spans="1:27">
      <c r="A63" s="1960"/>
      <c r="B63" s="1999"/>
      <c r="C63" s="2000"/>
      <c r="D63" s="2001"/>
      <c r="E63" s="2021"/>
      <c r="F63" s="2009"/>
      <c r="G63" s="2004"/>
      <c r="H63" s="2005"/>
      <c r="I63" s="2006"/>
      <c r="J63" s="2006"/>
      <c r="K63" s="2006"/>
      <c r="L63" s="2006"/>
      <c r="M63" s="2006"/>
      <c r="N63" s="2006"/>
      <c r="O63" s="2006"/>
      <c r="P63" s="2006"/>
      <c r="Q63" s="2007"/>
      <c r="R63" s="1967"/>
      <c r="S63" s="88"/>
      <c r="T63" s="88"/>
      <c r="U63" s="88"/>
      <c r="V63" s="88"/>
      <c r="W63" s="88"/>
      <c r="X63" s="89"/>
      <c r="Y63" s="89"/>
      <c r="Z63" s="89"/>
    </row>
    <row r="64" spans="1:27">
      <c r="A64" s="1961"/>
      <c r="B64" s="1996"/>
      <c r="C64" s="2010"/>
      <c r="D64" s="2011"/>
      <c r="E64" s="2022" t="s">
        <v>304</v>
      </c>
      <c r="F64" s="1978" t="str">
        <f xml:space="preserve"> "Cộng: "&amp;F9</f>
        <v>Cộng: CÔNG TÁC ĐẤT</v>
      </c>
      <c r="G64" s="1918"/>
      <c r="H64" s="1919"/>
      <c r="I64" s="1920"/>
      <c r="J64" s="1920"/>
      <c r="K64" s="1920"/>
      <c r="L64" s="1942"/>
      <c r="M64" s="1938"/>
      <c r="N64" s="1938">
        <f>SUM(N9:N63)</f>
        <v>264435</v>
      </c>
      <c r="O64" s="1938">
        <f>SUM(O9:O63)</f>
        <v>0</v>
      </c>
      <c r="P64" s="1938">
        <f>SUM(P9:P63)</f>
        <v>777334.56163199991</v>
      </c>
      <c r="Q64" s="1972">
        <f>SUM(Q9:Q63)</f>
        <v>493325.23637440003</v>
      </c>
      <c r="R64" s="1968">
        <f ca="1">SUM(R9:R63)</f>
        <v>2073766.1328325809</v>
      </c>
      <c r="S64" s="1939"/>
      <c r="T64" s="1939"/>
      <c r="U64" s="1939"/>
      <c r="V64" s="1939"/>
      <c r="W64" s="1939"/>
      <c r="X64" s="1940"/>
      <c r="Y64" s="1940"/>
      <c r="Z64" s="1941"/>
    </row>
    <row r="65" spans="1:27">
      <c r="A65" s="1961" t="s">
        <v>1635</v>
      </c>
      <c r="B65" s="1996"/>
      <c r="C65" s="1997"/>
      <c r="D65" s="1998"/>
      <c r="E65" s="2023" t="s">
        <v>1633</v>
      </c>
      <c r="F65" s="1978" t="s">
        <v>1596</v>
      </c>
      <c r="G65" s="1918"/>
      <c r="H65" s="1919"/>
      <c r="I65" s="1920"/>
      <c r="J65" s="1920"/>
      <c r="K65" s="1920"/>
      <c r="L65" s="1920"/>
      <c r="M65" s="1920"/>
      <c r="N65" s="1920"/>
      <c r="O65" s="1920"/>
      <c r="P65" s="1920"/>
      <c r="Q65" s="1971"/>
      <c r="R65" s="1921"/>
      <c r="S65" s="1922"/>
      <c r="T65" s="1922"/>
      <c r="U65" s="1922"/>
      <c r="V65" s="1922"/>
      <c r="W65" s="1922"/>
      <c r="X65" s="1923"/>
      <c r="Y65" s="1923"/>
      <c r="Z65" s="1924"/>
    </row>
    <row r="66" spans="1:27" ht="31.5">
      <c r="A66" s="2029">
        <v>66</v>
      </c>
      <c r="B66" s="2034">
        <v>1</v>
      </c>
      <c r="C66" s="2035" t="s">
        <v>1851</v>
      </c>
      <c r="D66" s="2036" t="s">
        <v>1852</v>
      </c>
      <c r="E66" s="2033" t="s">
        <v>1541</v>
      </c>
      <c r="F66" s="2040" t="s">
        <v>1853</v>
      </c>
      <c r="G66" s="2037" t="s">
        <v>1848</v>
      </c>
      <c r="H66" s="2135">
        <f>SUM(H67:H76)</f>
        <v>28.5749</v>
      </c>
      <c r="I66" s="2072">
        <f>'Don gia XD'!M91</f>
        <v>527216</v>
      </c>
      <c r="J66" s="2038"/>
      <c r="K66" s="2072">
        <f>'Don gia XD'!M97</f>
        <v>397590</v>
      </c>
      <c r="L66" s="2072">
        <f>'Don gia XD'!M99</f>
        <v>2556</v>
      </c>
      <c r="M66" s="2038">
        <f ca="1">'Don gia XD'!M111</f>
        <v>1252777.2949093601</v>
      </c>
      <c r="N66" s="2038">
        <f>H66*I66</f>
        <v>15065144.478399999</v>
      </c>
      <c r="O66" s="2038">
        <f>H66*J66</f>
        <v>0</v>
      </c>
      <c r="P66" s="2038">
        <f>H66*K66</f>
        <v>11361094.491</v>
      </c>
      <c r="Q66" s="2039">
        <f>H66*L66</f>
        <v>73037.444399999993</v>
      </c>
      <c r="R66" s="2030">
        <f ca="1">H66*M66</f>
        <v>35797985.924305476</v>
      </c>
      <c r="S66" s="2031"/>
      <c r="T66" s="2031"/>
      <c r="U66" s="2031"/>
      <c r="V66" s="2031"/>
      <c r="W66" s="2031"/>
      <c r="X66" s="2032"/>
      <c r="Y66" s="2032"/>
      <c r="Z66" s="2032"/>
      <c r="AA66" s="79" t="s">
        <v>1830</v>
      </c>
    </row>
    <row r="67" spans="1:27">
      <c r="A67" s="1960"/>
      <c r="B67" s="1999"/>
      <c r="C67" s="2000"/>
      <c r="D67" s="2001"/>
      <c r="E67" s="2021" t="s">
        <v>1536</v>
      </c>
      <c r="F67" s="2003" t="s">
        <v>1648</v>
      </c>
      <c r="G67" s="2004"/>
      <c r="H67" s="2005"/>
      <c r="I67" s="2006"/>
      <c r="J67" s="2006"/>
      <c r="K67" s="2006"/>
      <c r="L67" s="2006"/>
      <c r="M67" s="2006"/>
      <c r="N67" s="2006"/>
      <c r="O67" s="2006"/>
      <c r="P67" s="2006"/>
      <c r="Q67" s="2007"/>
      <c r="R67" s="1967"/>
      <c r="S67" s="88"/>
      <c r="T67" s="88"/>
      <c r="U67" s="88"/>
      <c r="V67" s="88"/>
      <c r="W67" s="88"/>
      <c r="X67" s="89"/>
      <c r="Y67" s="89"/>
      <c r="Z67" s="89"/>
    </row>
    <row r="68" spans="1:27">
      <c r="A68" s="1960"/>
      <c r="B68" s="1999"/>
      <c r="C68" s="2000"/>
      <c r="D68" s="2001"/>
      <c r="E68" s="2021" t="s">
        <v>1536</v>
      </c>
      <c r="F68" s="2003" t="s">
        <v>1682</v>
      </c>
      <c r="G68" s="2004"/>
      <c r="H68" s="2008">
        <f>ROUND(kl(F68),Config!$C$104)</f>
        <v>4.6970000000000001</v>
      </c>
      <c r="I68" s="2006"/>
      <c r="J68" s="2006"/>
      <c r="K68" s="2006"/>
      <c r="L68" s="2006"/>
      <c r="M68" s="2006"/>
      <c r="N68" s="2006"/>
      <c r="O68" s="2006"/>
      <c r="P68" s="2006"/>
      <c r="Q68" s="2007"/>
      <c r="R68" s="1967"/>
      <c r="S68" s="88"/>
      <c r="T68" s="88"/>
      <c r="U68" s="88"/>
      <c r="V68" s="88"/>
      <c r="W68" s="88"/>
      <c r="X68" s="89"/>
      <c r="Y68" s="89"/>
      <c r="Z68" s="89"/>
    </row>
    <row r="69" spans="1:27">
      <c r="A69" s="1960"/>
      <c r="B69" s="1999"/>
      <c r="C69" s="2000"/>
      <c r="D69" s="2001"/>
      <c r="E69" s="2021" t="s">
        <v>1536</v>
      </c>
      <c r="F69" s="2003" t="s">
        <v>1683</v>
      </c>
      <c r="G69" s="2004"/>
      <c r="H69" s="2008">
        <f>ROUND(kl(F69),Config!$C$104)</f>
        <v>4.8125</v>
      </c>
      <c r="I69" s="2006"/>
      <c r="J69" s="2006"/>
      <c r="K69" s="2006"/>
      <c r="L69" s="2006"/>
      <c r="M69" s="2006"/>
      <c r="N69" s="2006"/>
      <c r="O69" s="2006"/>
      <c r="P69" s="2006"/>
      <c r="Q69" s="2007"/>
      <c r="R69" s="1967"/>
      <c r="S69" s="88"/>
      <c r="T69" s="88"/>
      <c r="U69" s="88"/>
      <c r="V69" s="88"/>
      <c r="W69" s="88"/>
      <c r="X69" s="89"/>
      <c r="Y69" s="89"/>
      <c r="Z69" s="89"/>
    </row>
    <row r="70" spans="1:27">
      <c r="A70" s="1960"/>
      <c r="B70" s="1999"/>
      <c r="C70" s="2000"/>
      <c r="D70" s="2001"/>
      <c r="E70" s="2021" t="s">
        <v>1536</v>
      </c>
      <c r="F70" s="2003" t="s">
        <v>1684</v>
      </c>
      <c r="G70" s="2004"/>
      <c r="H70" s="2008">
        <f>ROUND(kl(F70),Config!$C$104)</f>
        <v>1.9952000000000001</v>
      </c>
      <c r="I70" s="2006"/>
      <c r="J70" s="2006"/>
      <c r="K70" s="2006"/>
      <c r="L70" s="2006"/>
      <c r="M70" s="2006"/>
      <c r="N70" s="2006"/>
      <c r="O70" s="2006"/>
      <c r="P70" s="2006"/>
      <c r="Q70" s="2007"/>
      <c r="R70" s="1967"/>
      <c r="S70" s="88"/>
      <c r="T70" s="88"/>
      <c r="U70" s="88"/>
      <c r="V70" s="88"/>
      <c r="W70" s="88"/>
      <c r="X70" s="89"/>
      <c r="Y70" s="89"/>
      <c r="Z70" s="89"/>
    </row>
    <row r="71" spans="1:27">
      <c r="A71" s="1960"/>
      <c r="B71" s="1999"/>
      <c r="C71" s="2000"/>
      <c r="D71" s="2001"/>
      <c r="E71" s="2021" t="s">
        <v>1536</v>
      </c>
      <c r="F71" s="2003" t="s">
        <v>1685</v>
      </c>
      <c r="G71" s="2004"/>
      <c r="H71" s="2008">
        <f>ROUND(kl(F71),Config!$C$104)</f>
        <v>2.2016</v>
      </c>
      <c r="I71" s="2006"/>
      <c r="J71" s="2006"/>
      <c r="K71" s="2006"/>
      <c r="L71" s="2006"/>
      <c r="M71" s="2006"/>
      <c r="N71" s="2006"/>
      <c r="O71" s="2006"/>
      <c r="P71" s="2006"/>
      <c r="Q71" s="2007"/>
      <c r="R71" s="1967"/>
      <c r="S71" s="88"/>
      <c r="T71" s="88"/>
      <c r="U71" s="88"/>
      <c r="V71" s="88"/>
      <c r="W71" s="88"/>
      <c r="X71" s="89"/>
      <c r="Y71" s="89"/>
      <c r="Z71" s="89"/>
    </row>
    <row r="72" spans="1:27">
      <c r="A72" s="1960"/>
      <c r="B72" s="1999"/>
      <c r="C72" s="2000"/>
      <c r="D72" s="2001"/>
      <c r="E72" s="2021" t="s">
        <v>1536</v>
      </c>
      <c r="F72" s="2003" t="s">
        <v>1649</v>
      </c>
      <c r="G72" s="2004"/>
      <c r="H72" s="2005"/>
      <c r="I72" s="2006"/>
      <c r="J72" s="2006"/>
      <c r="K72" s="2006"/>
      <c r="L72" s="2006"/>
      <c r="M72" s="2006"/>
      <c r="N72" s="2006"/>
      <c r="O72" s="2006"/>
      <c r="P72" s="2006"/>
      <c r="Q72" s="2007"/>
      <c r="R72" s="1967"/>
      <c r="S72" s="88"/>
      <c r="T72" s="88"/>
      <c r="U72" s="88"/>
      <c r="V72" s="88"/>
      <c r="W72" s="88"/>
      <c r="X72" s="89"/>
      <c r="Y72" s="89"/>
      <c r="Z72" s="89"/>
    </row>
    <row r="73" spans="1:27">
      <c r="A73" s="1960"/>
      <c r="B73" s="1999"/>
      <c r="C73" s="2000"/>
      <c r="D73" s="2001"/>
      <c r="E73" s="2021" t="s">
        <v>1536</v>
      </c>
      <c r="F73" s="2003" t="s">
        <v>1686</v>
      </c>
      <c r="G73" s="2004"/>
      <c r="H73" s="2008">
        <f>ROUND(kl(F73),Config!$C$104)</f>
        <v>4.774</v>
      </c>
      <c r="I73" s="2006"/>
      <c r="J73" s="2006"/>
      <c r="K73" s="2006"/>
      <c r="L73" s="2006"/>
      <c r="M73" s="2006"/>
      <c r="N73" s="2006"/>
      <c r="O73" s="2006"/>
      <c r="P73" s="2006"/>
      <c r="Q73" s="2007"/>
      <c r="R73" s="1967"/>
      <c r="S73" s="88"/>
      <c r="T73" s="88"/>
      <c r="U73" s="88"/>
      <c r="V73" s="88"/>
      <c r="W73" s="88"/>
      <c r="X73" s="89"/>
      <c r="Y73" s="89"/>
      <c r="Z73" s="89"/>
    </row>
    <row r="74" spans="1:27">
      <c r="A74" s="1960"/>
      <c r="B74" s="1999"/>
      <c r="C74" s="2000"/>
      <c r="D74" s="2001"/>
      <c r="E74" s="2021" t="s">
        <v>1536</v>
      </c>
      <c r="F74" s="2003" t="s">
        <v>1687</v>
      </c>
      <c r="G74" s="2004"/>
      <c r="H74" s="2008">
        <f>ROUND(kl(F74),Config!$C$104)</f>
        <v>5.3129999999999997</v>
      </c>
      <c r="I74" s="2006"/>
      <c r="J74" s="2006"/>
      <c r="K74" s="2006"/>
      <c r="L74" s="2006"/>
      <c r="M74" s="2006"/>
      <c r="N74" s="2006"/>
      <c r="O74" s="2006"/>
      <c r="P74" s="2006"/>
      <c r="Q74" s="2007"/>
      <c r="R74" s="1967"/>
      <c r="S74" s="88"/>
      <c r="T74" s="88"/>
      <c r="U74" s="88"/>
      <c r="V74" s="88"/>
      <c r="W74" s="88"/>
      <c r="X74" s="89"/>
      <c r="Y74" s="89"/>
      <c r="Z74" s="89"/>
    </row>
    <row r="75" spans="1:27">
      <c r="A75" s="1960"/>
      <c r="B75" s="1999"/>
      <c r="C75" s="2000"/>
      <c r="D75" s="2001"/>
      <c r="E75" s="2021" t="s">
        <v>1536</v>
      </c>
      <c r="F75" s="2003" t="s">
        <v>1685</v>
      </c>
      <c r="G75" s="2004"/>
      <c r="H75" s="2008">
        <f>ROUND(kl(F75),Config!$C$104)</f>
        <v>2.2016</v>
      </c>
      <c r="I75" s="2006"/>
      <c r="J75" s="2006"/>
      <c r="K75" s="2006"/>
      <c r="L75" s="2006"/>
      <c r="M75" s="2006"/>
      <c r="N75" s="2006"/>
      <c r="O75" s="2006"/>
      <c r="P75" s="2006"/>
      <c r="Q75" s="2007"/>
      <c r="R75" s="1967"/>
      <c r="S75" s="88"/>
      <c r="T75" s="88"/>
      <c r="U75" s="88"/>
      <c r="V75" s="88"/>
      <c r="W75" s="88"/>
      <c r="X75" s="89"/>
      <c r="Y75" s="89"/>
      <c r="Z75" s="89"/>
    </row>
    <row r="76" spans="1:27">
      <c r="A76" s="1960"/>
      <c r="B76" s="1999"/>
      <c r="C76" s="2000"/>
      <c r="D76" s="2001"/>
      <c r="E76" s="2021" t="s">
        <v>1536</v>
      </c>
      <c r="F76" s="2003" t="s">
        <v>1688</v>
      </c>
      <c r="G76" s="2004"/>
      <c r="H76" s="2008">
        <f>ROUND(kl(F76),Config!$C$104)</f>
        <v>2.58</v>
      </c>
      <c r="I76" s="2006"/>
      <c r="J76" s="2006"/>
      <c r="K76" s="2006"/>
      <c r="L76" s="2006"/>
      <c r="M76" s="2006"/>
      <c r="N76" s="2006"/>
      <c r="O76" s="2006"/>
      <c r="P76" s="2006"/>
      <c r="Q76" s="2007"/>
      <c r="R76" s="1967"/>
      <c r="S76" s="88"/>
      <c r="T76" s="88"/>
      <c r="U76" s="88"/>
      <c r="V76" s="88"/>
      <c r="W76" s="88"/>
      <c r="X76" s="89"/>
      <c r="Y76" s="89"/>
      <c r="Z76" s="89"/>
    </row>
    <row r="77" spans="1:27" ht="31.5">
      <c r="A77" s="2080">
        <v>67</v>
      </c>
      <c r="B77" s="2081">
        <v>2</v>
      </c>
      <c r="C77" s="2078" t="s">
        <v>1851</v>
      </c>
      <c r="D77" s="2082" t="s">
        <v>1870</v>
      </c>
      <c r="E77" s="2083" t="s">
        <v>1542</v>
      </c>
      <c r="F77" s="2089" t="s">
        <v>1871</v>
      </c>
      <c r="G77" s="2079" t="s">
        <v>1848</v>
      </c>
      <c r="H77" s="2140">
        <f>SUM(H78:H81)</f>
        <v>3.8692000000000002</v>
      </c>
      <c r="I77" s="2121">
        <f>'Don gia XD'!M113</f>
        <v>527216</v>
      </c>
      <c r="J77" s="2085"/>
      <c r="K77" s="2121">
        <f>'Don gia XD'!M119</f>
        <v>413585</v>
      </c>
      <c r="L77" s="2121">
        <f>'Don gia XD'!M121</f>
        <v>2556</v>
      </c>
      <c r="M77" s="2085">
        <f ca="1">'Don gia XD'!M133</f>
        <v>1274385.0088679602</v>
      </c>
      <c r="N77" s="2085">
        <f>H77*I77</f>
        <v>2039904.1472</v>
      </c>
      <c r="O77" s="2085">
        <f>H77*J77</f>
        <v>0</v>
      </c>
      <c r="P77" s="2085">
        <f>H77*K77</f>
        <v>1600243.0820000002</v>
      </c>
      <c r="Q77" s="2086">
        <f>H77*L77</f>
        <v>9889.6751999999997</v>
      </c>
      <c r="R77" s="2076">
        <f ca="1">H77*M77</f>
        <v>4930850.4763119118</v>
      </c>
      <c r="S77" s="2087"/>
      <c r="T77" s="2087"/>
      <c r="U77" s="2087"/>
      <c r="V77" s="2087"/>
      <c r="W77" s="2087"/>
      <c r="X77" s="2088"/>
      <c r="Y77" s="2088"/>
      <c r="Z77" s="2088"/>
      <c r="AA77" s="79" t="s">
        <v>1830</v>
      </c>
    </row>
    <row r="78" spans="1:27">
      <c r="A78" s="1960"/>
      <c r="B78" s="1999"/>
      <c r="C78" s="2000"/>
      <c r="D78" s="2001"/>
      <c r="E78" s="2021" t="s">
        <v>1536</v>
      </c>
      <c r="F78" s="2003" t="s">
        <v>1650</v>
      </c>
      <c r="G78" s="2004"/>
      <c r="H78" s="2005"/>
      <c r="I78" s="2006"/>
      <c r="J78" s="2006"/>
      <c r="K78" s="2006"/>
      <c r="L78" s="2006"/>
      <c r="M78" s="2006"/>
      <c r="N78" s="2006"/>
      <c r="O78" s="2006"/>
      <c r="P78" s="2006"/>
      <c r="Q78" s="2007"/>
      <c r="R78" s="1967"/>
      <c r="S78" s="88"/>
      <c r="T78" s="88"/>
      <c r="U78" s="88"/>
      <c r="V78" s="88"/>
      <c r="W78" s="88"/>
      <c r="X78" s="89"/>
      <c r="Y78" s="89"/>
      <c r="Z78" s="89"/>
    </row>
    <row r="79" spans="1:27">
      <c r="A79" s="1960"/>
      <c r="B79" s="1999"/>
      <c r="C79" s="2000"/>
      <c r="D79" s="2001"/>
      <c r="E79" s="2021" t="s">
        <v>1536</v>
      </c>
      <c r="F79" s="2003" t="s">
        <v>1689</v>
      </c>
      <c r="G79" s="2004"/>
      <c r="H79" s="2008">
        <f>ROUND(kl(F79),Config!$C$104)</f>
        <v>0.12379999999999999</v>
      </c>
      <c r="I79" s="2006"/>
      <c r="J79" s="2006"/>
      <c r="K79" s="2006"/>
      <c r="L79" s="2006"/>
      <c r="M79" s="2006"/>
      <c r="N79" s="2006"/>
      <c r="O79" s="2006"/>
      <c r="P79" s="2006"/>
      <c r="Q79" s="2007"/>
      <c r="R79" s="1967"/>
      <c r="S79" s="88"/>
      <c r="T79" s="88"/>
      <c r="U79" s="88"/>
      <c r="V79" s="88"/>
      <c r="W79" s="88"/>
      <c r="X79" s="89"/>
      <c r="Y79" s="89"/>
      <c r="Z79" s="89"/>
    </row>
    <row r="80" spans="1:27">
      <c r="A80" s="1960"/>
      <c r="B80" s="1999"/>
      <c r="C80" s="2000"/>
      <c r="D80" s="2001"/>
      <c r="E80" s="2021" t="s">
        <v>1536</v>
      </c>
      <c r="F80" s="2003" t="s">
        <v>1690</v>
      </c>
      <c r="G80" s="2004"/>
      <c r="H80" s="2008">
        <f>ROUND(kl(F80),Config!$C$104)</f>
        <v>0.36359999999999998</v>
      </c>
      <c r="I80" s="2006"/>
      <c r="J80" s="2006"/>
      <c r="K80" s="2006"/>
      <c r="L80" s="2006"/>
      <c r="M80" s="2006"/>
      <c r="N80" s="2006"/>
      <c r="O80" s="2006"/>
      <c r="P80" s="2006"/>
      <c r="Q80" s="2007"/>
      <c r="R80" s="1967"/>
      <c r="S80" s="88"/>
      <c r="T80" s="88"/>
      <c r="U80" s="88"/>
      <c r="V80" s="88"/>
      <c r="W80" s="88"/>
      <c r="X80" s="89"/>
      <c r="Y80" s="89"/>
      <c r="Z80" s="89"/>
    </row>
    <row r="81" spans="1:27">
      <c r="A81" s="1960"/>
      <c r="B81" s="1999"/>
      <c r="C81" s="2000"/>
      <c r="D81" s="2001"/>
      <c r="E81" s="2021" t="s">
        <v>1536</v>
      </c>
      <c r="F81" s="2003" t="s">
        <v>1691</v>
      </c>
      <c r="G81" s="2004"/>
      <c r="H81" s="2008">
        <f>ROUND(kl(F81),Config!$C$104)</f>
        <v>3.3818000000000001</v>
      </c>
      <c r="I81" s="2006"/>
      <c r="J81" s="2006"/>
      <c r="K81" s="2006"/>
      <c r="L81" s="2006"/>
      <c r="M81" s="2006"/>
      <c r="N81" s="2006"/>
      <c r="O81" s="2006"/>
      <c r="P81" s="2006"/>
      <c r="Q81" s="2007"/>
      <c r="R81" s="1967"/>
      <c r="S81" s="88"/>
      <c r="T81" s="88"/>
      <c r="U81" s="88"/>
      <c r="V81" s="88"/>
      <c r="W81" s="88"/>
      <c r="X81" s="89"/>
      <c r="Y81" s="89"/>
      <c r="Z81" s="89"/>
    </row>
    <row r="82" spans="1:27" ht="47.25">
      <c r="A82" s="2080">
        <v>68</v>
      </c>
      <c r="B82" s="2081">
        <v>3</v>
      </c>
      <c r="C82" s="2078" t="s">
        <v>1536</v>
      </c>
      <c r="D82" s="2082" t="s">
        <v>1543</v>
      </c>
      <c r="E82" s="2083" t="s">
        <v>1543</v>
      </c>
      <c r="F82" s="2089" t="s">
        <v>1872</v>
      </c>
      <c r="G82" s="2079" t="s">
        <v>1873</v>
      </c>
      <c r="H82" s="2088">
        <f>SUM(H83:H87)</f>
        <v>0.2321</v>
      </c>
      <c r="I82" s="2121">
        <f>'Don gia XD'!M135</f>
        <v>4437940</v>
      </c>
      <c r="J82" s="2085"/>
      <c r="K82" s="2121">
        <f>'Don gia XD'!M141</f>
        <v>3109885</v>
      </c>
      <c r="L82" s="2085"/>
      <c r="M82" s="2085">
        <f ca="1">'Don gia XD'!M153</f>
        <v>10196389.097191</v>
      </c>
      <c r="N82" s="2085">
        <f>H82*I82</f>
        <v>1030045.874</v>
      </c>
      <c r="O82" s="2085">
        <f>H82*J82</f>
        <v>0</v>
      </c>
      <c r="P82" s="2085">
        <f>H82*K82</f>
        <v>721804.30850000004</v>
      </c>
      <c r="Q82" s="2086">
        <f>H82*L82</f>
        <v>0</v>
      </c>
      <c r="R82" s="2076">
        <f ca="1">H82*M82</f>
        <v>2366581.9094580314</v>
      </c>
      <c r="S82" s="2087"/>
      <c r="T82" s="2087"/>
      <c r="U82" s="2087"/>
      <c r="V82" s="2087"/>
      <c r="W82" s="2087"/>
      <c r="X82" s="2088"/>
      <c r="Y82" s="2088"/>
      <c r="Z82" s="2088"/>
      <c r="AA82" s="79" t="s">
        <v>1830</v>
      </c>
    </row>
    <row r="83" spans="1:27">
      <c r="A83" s="1960"/>
      <c r="B83" s="1999"/>
      <c r="C83" s="2000"/>
      <c r="D83" s="2001"/>
      <c r="E83" s="2021" t="s">
        <v>1536</v>
      </c>
      <c r="F83" s="2003" t="s">
        <v>1597</v>
      </c>
      <c r="G83" s="2004"/>
      <c r="H83" s="2005"/>
      <c r="I83" s="2006"/>
      <c r="J83" s="2006"/>
      <c r="K83" s="2006"/>
      <c r="L83" s="2006"/>
      <c r="M83" s="2006"/>
      <c r="N83" s="2006"/>
      <c r="O83" s="2006"/>
      <c r="P83" s="2006"/>
      <c r="Q83" s="2007"/>
      <c r="R83" s="1967"/>
      <c r="S83" s="88"/>
      <c r="T83" s="88"/>
      <c r="U83" s="88"/>
      <c r="V83" s="88"/>
      <c r="W83" s="88"/>
      <c r="X83" s="89"/>
      <c r="Y83" s="89"/>
      <c r="Z83" s="89"/>
    </row>
    <row r="84" spans="1:27">
      <c r="A84" s="1960"/>
      <c r="B84" s="1999"/>
      <c r="C84" s="2000"/>
      <c r="D84" s="2001"/>
      <c r="E84" s="2021" t="s">
        <v>1536</v>
      </c>
      <c r="F84" s="2003" t="s">
        <v>1652</v>
      </c>
      <c r="G84" s="2004"/>
      <c r="H84" s="2008"/>
      <c r="I84" s="2006"/>
      <c r="J84" s="2006"/>
      <c r="K84" s="2006"/>
      <c r="L84" s="2006"/>
      <c r="M84" s="2006"/>
      <c r="N84" s="2006"/>
      <c r="O84" s="2006"/>
      <c r="P84" s="2006"/>
      <c r="Q84" s="2007"/>
      <c r="R84" s="1967"/>
      <c r="S84" s="88"/>
      <c r="T84" s="88"/>
      <c r="U84" s="88"/>
      <c r="V84" s="88"/>
      <c r="W84" s="88"/>
      <c r="X84" s="89"/>
      <c r="Y84" s="89"/>
      <c r="Z84" s="89"/>
    </row>
    <row r="85" spans="1:27">
      <c r="A85" s="1960"/>
      <c r="B85" s="1999"/>
      <c r="C85" s="2000"/>
      <c r="D85" s="2001"/>
      <c r="E85" s="2021" t="s">
        <v>1536</v>
      </c>
      <c r="F85" s="2003" t="s">
        <v>1692</v>
      </c>
      <c r="G85" s="2004"/>
      <c r="H85" s="2008">
        <f>ROUND(kl(F85),Config!$C$104)</f>
        <v>0.114</v>
      </c>
      <c r="I85" s="2006"/>
      <c r="J85" s="2006"/>
      <c r="K85" s="2006"/>
      <c r="L85" s="2006"/>
      <c r="M85" s="2006"/>
      <c r="N85" s="2006"/>
      <c r="O85" s="2006"/>
      <c r="P85" s="2006"/>
      <c r="Q85" s="2007"/>
      <c r="R85" s="1967"/>
      <c r="S85" s="88"/>
      <c r="T85" s="88"/>
      <c r="U85" s="88"/>
      <c r="V85" s="88"/>
      <c r="W85" s="88"/>
      <c r="X85" s="89"/>
      <c r="Y85" s="89"/>
      <c r="Z85" s="89"/>
    </row>
    <row r="86" spans="1:27">
      <c r="A86" s="1960"/>
      <c r="B86" s="1999"/>
      <c r="C86" s="2000"/>
      <c r="D86" s="2001"/>
      <c r="E86" s="2021" t="s">
        <v>1536</v>
      </c>
      <c r="F86" s="2003" t="s">
        <v>1827</v>
      </c>
      <c r="G86" s="2004"/>
      <c r="H86" s="2005"/>
      <c r="I86" s="2006"/>
      <c r="J86" s="2006"/>
      <c r="K86" s="2006"/>
      <c r="L86" s="2006"/>
      <c r="M86" s="2006"/>
      <c r="N86" s="2006"/>
      <c r="O86" s="2006"/>
      <c r="P86" s="2006"/>
      <c r="Q86" s="2007"/>
      <c r="R86" s="1967"/>
      <c r="S86" s="88"/>
      <c r="T86" s="88"/>
      <c r="U86" s="88"/>
      <c r="V86" s="88"/>
      <c r="W86" s="88"/>
      <c r="X86" s="89"/>
      <c r="Y86" s="89"/>
      <c r="Z86" s="89"/>
    </row>
    <row r="87" spans="1:27">
      <c r="A87" s="1960"/>
      <c r="B87" s="1999"/>
      <c r="C87" s="2000"/>
      <c r="D87" s="2001"/>
      <c r="E87" s="2021" t="s">
        <v>1536</v>
      </c>
      <c r="F87" s="2003" t="s">
        <v>1693</v>
      </c>
      <c r="G87" s="2004"/>
      <c r="H87" s="2008">
        <f>ROUND(kl(F87),Config!$C$104)</f>
        <v>0.1181</v>
      </c>
      <c r="I87" s="2006"/>
      <c r="J87" s="2006"/>
      <c r="K87" s="2006"/>
      <c r="L87" s="2006"/>
      <c r="M87" s="2006"/>
      <c r="N87" s="2006"/>
      <c r="O87" s="2006"/>
      <c r="P87" s="2006"/>
      <c r="Q87" s="2007"/>
      <c r="R87" s="1967"/>
      <c r="S87" s="88"/>
      <c r="T87" s="88"/>
      <c r="U87" s="88"/>
      <c r="V87" s="88"/>
      <c r="W87" s="88"/>
      <c r="X87" s="89"/>
      <c r="Y87" s="89"/>
      <c r="Z87" s="89"/>
    </row>
    <row r="88" spans="1:27" ht="31.5">
      <c r="A88" s="2080">
        <v>69</v>
      </c>
      <c r="B88" s="2081">
        <v>4</v>
      </c>
      <c r="C88" s="2078" t="s">
        <v>1536</v>
      </c>
      <c r="D88" s="2082" t="s">
        <v>1544</v>
      </c>
      <c r="E88" s="2083" t="s">
        <v>1544</v>
      </c>
      <c r="F88" s="2089" t="s">
        <v>1883</v>
      </c>
      <c r="G88" s="2079" t="s">
        <v>1884</v>
      </c>
      <c r="H88" s="2140">
        <f>SUM(H89:H90)</f>
        <v>6.9000000000000006E-2</v>
      </c>
      <c r="I88" s="2121">
        <f>'Don gia XD'!M155</f>
        <v>22644390</v>
      </c>
      <c r="J88" s="2085"/>
      <c r="K88" s="2121">
        <f>'Don gia XD'!M158</f>
        <v>2456375</v>
      </c>
      <c r="L88" s="2121">
        <f>'Don gia XD'!M160</f>
        <v>13870</v>
      </c>
      <c r="M88" s="2085">
        <f ca="1">'Don gia XD'!M172</f>
        <v>33927467.912137799</v>
      </c>
      <c r="N88" s="2085">
        <f>H88*I88</f>
        <v>1562462.9100000001</v>
      </c>
      <c r="O88" s="2085">
        <f>H88*J88</f>
        <v>0</v>
      </c>
      <c r="P88" s="2085">
        <f>H88*K88</f>
        <v>169489.875</v>
      </c>
      <c r="Q88" s="2086">
        <f>H88*L88</f>
        <v>957.03000000000009</v>
      </c>
      <c r="R88" s="2076">
        <f ca="1">H88*M88</f>
        <v>2340995.2859375081</v>
      </c>
      <c r="S88" s="2087"/>
      <c r="T88" s="2087"/>
      <c r="U88" s="2087"/>
      <c r="V88" s="2087"/>
      <c r="W88" s="2087"/>
      <c r="X88" s="2088"/>
      <c r="Y88" s="2088"/>
      <c r="Z88" s="2088"/>
      <c r="AA88" s="79" t="s">
        <v>1830</v>
      </c>
    </row>
    <row r="89" spans="1:27">
      <c r="A89" s="1960"/>
      <c r="B89" s="1999"/>
      <c r="C89" s="2000"/>
      <c r="D89" s="2001"/>
      <c r="E89" s="2021" t="s">
        <v>1536</v>
      </c>
      <c r="F89" s="2003" t="s">
        <v>1694</v>
      </c>
      <c r="G89" s="2004"/>
      <c r="H89" s="2008">
        <f>ROUND(kl(F89),Config!$C$104)</f>
        <v>3.5400000000000001E-2</v>
      </c>
      <c r="I89" s="2006"/>
      <c r="J89" s="2006"/>
      <c r="K89" s="2006"/>
      <c r="L89" s="2006"/>
      <c r="M89" s="2006"/>
      <c r="N89" s="2006"/>
      <c r="O89" s="2006"/>
      <c r="P89" s="2006"/>
      <c r="Q89" s="2007"/>
      <c r="R89" s="1967"/>
      <c r="S89" s="88"/>
      <c r="T89" s="88"/>
      <c r="U89" s="88"/>
      <c r="V89" s="88"/>
      <c r="W89" s="88"/>
      <c r="X89" s="89"/>
      <c r="Y89" s="89"/>
      <c r="Z89" s="89"/>
    </row>
    <row r="90" spans="1:27">
      <c r="A90" s="1960"/>
      <c r="B90" s="1999"/>
      <c r="C90" s="2000"/>
      <c r="D90" s="2001"/>
      <c r="E90" s="2021" t="s">
        <v>1536</v>
      </c>
      <c r="F90" s="2003" t="s">
        <v>1695</v>
      </c>
      <c r="G90" s="2004"/>
      <c r="H90" s="2008">
        <f>ROUND(kl(F90),Config!$C$104)</f>
        <v>3.3599999999999998E-2</v>
      </c>
      <c r="I90" s="2006"/>
      <c r="J90" s="2006"/>
      <c r="K90" s="2006"/>
      <c r="L90" s="2006"/>
      <c r="M90" s="2006"/>
      <c r="N90" s="2006"/>
      <c r="O90" s="2006"/>
      <c r="P90" s="2006"/>
      <c r="Q90" s="2007"/>
      <c r="R90" s="1967"/>
      <c r="S90" s="88"/>
      <c r="T90" s="88"/>
      <c r="U90" s="88"/>
      <c r="V90" s="88"/>
      <c r="W90" s="88"/>
      <c r="X90" s="89"/>
      <c r="Y90" s="89"/>
      <c r="Z90" s="89"/>
    </row>
    <row r="91" spans="1:27" ht="31.5">
      <c r="A91" s="2080">
        <v>70</v>
      </c>
      <c r="B91" s="2081">
        <v>5</v>
      </c>
      <c r="C91" s="2078" t="s">
        <v>1536</v>
      </c>
      <c r="D91" s="2082" t="s">
        <v>1545</v>
      </c>
      <c r="E91" s="2083" t="s">
        <v>1545</v>
      </c>
      <c r="F91" s="2089" t="s">
        <v>1891</v>
      </c>
      <c r="G91" s="2079" t="s">
        <v>1884</v>
      </c>
      <c r="H91" s="2140">
        <f>SUM(H92:H93)</f>
        <v>0.54039999999999999</v>
      </c>
      <c r="I91" s="2121">
        <f>'Don gia XD'!M174</f>
        <v>22788000</v>
      </c>
      <c r="J91" s="2085"/>
      <c r="K91" s="2121">
        <f>'Don gia XD'!M178</f>
        <v>1752595</v>
      </c>
      <c r="L91" s="2121">
        <f>'Don gia XD'!M180</f>
        <v>145718</v>
      </c>
      <c r="M91" s="2085">
        <f ca="1">'Don gia XD'!M193</f>
        <v>33348845.88911964</v>
      </c>
      <c r="N91" s="2085">
        <f>H91*I91</f>
        <v>12314635.199999999</v>
      </c>
      <c r="O91" s="2085">
        <f>H91*J91</f>
        <v>0</v>
      </c>
      <c r="P91" s="2085">
        <f>H91*K91</f>
        <v>947102.33799999999</v>
      </c>
      <c r="Q91" s="2086">
        <f>H91*L91</f>
        <v>78746.007199999993</v>
      </c>
      <c r="R91" s="2076">
        <f ca="1">H91*M91</f>
        <v>18021716.318480253</v>
      </c>
      <c r="S91" s="2087"/>
      <c r="T91" s="2087"/>
      <c r="U91" s="2087"/>
      <c r="V91" s="2087"/>
      <c r="W91" s="2087"/>
      <c r="X91" s="2088"/>
      <c r="Y91" s="2088"/>
      <c r="Z91" s="2088"/>
      <c r="AA91" s="79" t="s">
        <v>1830</v>
      </c>
    </row>
    <row r="92" spans="1:27">
      <c r="A92" s="1960"/>
      <c r="B92" s="1999"/>
      <c r="C92" s="2000"/>
      <c r="D92" s="2001"/>
      <c r="E92" s="2021" t="s">
        <v>1536</v>
      </c>
      <c r="F92" s="2003" t="s">
        <v>1696</v>
      </c>
      <c r="G92" s="2004"/>
      <c r="H92" s="2008">
        <f>ROUND(kl(F92),Config!$C$104)</f>
        <v>0.27179999999999999</v>
      </c>
      <c r="I92" s="2006"/>
      <c r="J92" s="2006"/>
      <c r="K92" s="2006"/>
      <c r="L92" s="2006"/>
      <c r="M92" s="2006"/>
      <c r="N92" s="2006"/>
      <c r="O92" s="2006"/>
      <c r="P92" s="2006"/>
      <c r="Q92" s="2007"/>
      <c r="R92" s="1967"/>
      <c r="S92" s="88"/>
      <c r="T92" s="88"/>
      <c r="U92" s="88"/>
      <c r="V92" s="88"/>
      <c r="W92" s="88"/>
      <c r="X92" s="89"/>
      <c r="Y92" s="89"/>
      <c r="Z92" s="89"/>
    </row>
    <row r="93" spans="1:27">
      <c r="A93" s="1960"/>
      <c r="B93" s="1999"/>
      <c r="C93" s="2000"/>
      <c r="D93" s="2001"/>
      <c r="E93" s="2021" t="s">
        <v>1536</v>
      </c>
      <c r="F93" s="2003" t="s">
        <v>1697</v>
      </c>
      <c r="G93" s="2004"/>
      <c r="H93" s="2008">
        <f>ROUND(kl(F93),Config!$C$104)</f>
        <v>0.26860000000000001</v>
      </c>
      <c r="I93" s="2006"/>
      <c r="J93" s="2006"/>
      <c r="K93" s="2006"/>
      <c r="L93" s="2006"/>
      <c r="M93" s="2006"/>
      <c r="N93" s="2006"/>
      <c r="O93" s="2006"/>
      <c r="P93" s="2006"/>
      <c r="Q93" s="2007"/>
      <c r="R93" s="1967"/>
      <c r="S93" s="88"/>
      <c r="T93" s="88"/>
      <c r="U93" s="88"/>
      <c r="V93" s="88"/>
      <c r="W93" s="88"/>
      <c r="X93" s="89"/>
      <c r="Y93" s="89"/>
      <c r="Z93" s="89"/>
    </row>
    <row r="94" spans="1:27" ht="63">
      <c r="A94" s="2080">
        <v>71</v>
      </c>
      <c r="B94" s="2081">
        <v>6</v>
      </c>
      <c r="C94" s="2078" t="s">
        <v>1898</v>
      </c>
      <c r="D94" s="2082" t="s">
        <v>1899</v>
      </c>
      <c r="E94" s="2083" t="s">
        <v>1546</v>
      </c>
      <c r="F94" s="2089" t="s">
        <v>1900</v>
      </c>
      <c r="G94" s="2079" t="s">
        <v>1848</v>
      </c>
      <c r="H94" s="2140">
        <f>SUM(H95:H98)</f>
        <v>2.5526999999999997</v>
      </c>
      <c r="I94" s="2121">
        <f>'Don gia XD'!M195</f>
        <v>758092</v>
      </c>
      <c r="J94" s="2085"/>
      <c r="K94" s="2121">
        <f>'Don gia XD'!M201</f>
        <v>257017</v>
      </c>
      <c r="L94" s="2121">
        <f>'Don gia XD'!M203</f>
        <v>9735</v>
      </c>
      <c r="M94" s="2085">
        <f ca="1">'Don gia XD'!M216</f>
        <v>1384466.14593232</v>
      </c>
      <c r="N94" s="2085">
        <f>H94*I94</f>
        <v>1935181.4483999999</v>
      </c>
      <c r="O94" s="2085">
        <f>H94*J94</f>
        <v>0</v>
      </c>
      <c r="P94" s="2085">
        <f>H94*K94</f>
        <v>656087.29589999991</v>
      </c>
      <c r="Q94" s="2086">
        <f>H94*L94</f>
        <v>24850.534499999998</v>
      </c>
      <c r="R94" s="2076">
        <f ca="1">H94*M94</f>
        <v>3534126.7307214332</v>
      </c>
      <c r="S94" s="2087"/>
      <c r="T94" s="2087"/>
      <c r="U94" s="2087"/>
      <c r="V94" s="2087"/>
      <c r="W94" s="2087"/>
      <c r="X94" s="2088"/>
      <c r="Y94" s="2088"/>
      <c r="Z94" s="2088"/>
      <c r="AA94" s="1956" t="s">
        <v>1830</v>
      </c>
    </row>
    <row r="95" spans="1:27">
      <c r="A95" s="1960"/>
      <c r="B95" s="1999"/>
      <c r="C95" s="2000"/>
      <c r="D95" s="2001"/>
      <c r="E95" s="2021" t="s">
        <v>1536</v>
      </c>
      <c r="F95" s="2003" t="s">
        <v>1652</v>
      </c>
      <c r="G95" s="2004"/>
      <c r="H95" s="2005"/>
      <c r="I95" s="2006"/>
      <c r="J95" s="2006"/>
      <c r="K95" s="2006"/>
      <c r="L95" s="2006"/>
      <c r="M95" s="2006"/>
      <c r="N95" s="2006"/>
      <c r="O95" s="2006"/>
      <c r="P95" s="2006"/>
      <c r="Q95" s="2007"/>
      <c r="R95" s="1967"/>
      <c r="S95" s="88"/>
      <c r="T95" s="88"/>
      <c r="U95" s="88"/>
      <c r="V95" s="88"/>
      <c r="W95" s="88"/>
      <c r="X95" s="89"/>
      <c r="Y95" s="89"/>
      <c r="Z95" s="89"/>
    </row>
    <row r="96" spans="1:27">
      <c r="A96" s="1960"/>
      <c r="B96" s="1999"/>
      <c r="C96" s="2000"/>
      <c r="D96" s="2001"/>
      <c r="E96" s="2021" t="s">
        <v>1536</v>
      </c>
      <c r="F96" s="2003" t="s">
        <v>1698</v>
      </c>
      <c r="G96" s="2004"/>
      <c r="H96" s="2008">
        <f>ROUND(kl(F96),Config!$C$104)</f>
        <v>1.2536</v>
      </c>
      <c r="I96" s="2006"/>
      <c r="J96" s="2006"/>
      <c r="K96" s="2006"/>
      <c r="L96" s="2006"/>
      <c r="M96" s="2006"/>
      <c r="N96" s="2006"/>
      <c r="O96" s="2006"/>
      <c r="P96" s="2006"/>
      <c r="Q96" s="2007"/>
      <c r="R96" s="1967"/>
      <c r="S96" s="88"/>
      <c r="T96" s="88"/>
      <c r="U96" s="88"/>
      <c r="V96" s="88"/>
      <c r="W96" s="88"/>
      <c r="X96" s="89"/>
      <c r="Y96" s="89"/>
      <c r="Z96" s="89"/>
    </row>
    <row r="97" spans="1:27">
      <c r="A97" s="1960"/>
      <c r="B97" s="1999"/>
      <c r="C97" s="2000"/>
      <c r="D97" s="2001"/>
      <c r="E97" s="2021" t="s">
        <v>1536</v>
      </c>
      <c r="F97" s="2003" t="s">
        <v>1598</v>
      </c>
      <c r="G97" s="2004"/>
      <c r="H97" s="2005"/>
      <c r="I97" s="2006"/>
      <c r="J97" s="2006"/>
      <c r="K97" s="2006"/>
      <c r="L97" s="2006"/>
      <c r="M97" s="2006"/>
      <c r="N97" s="2006"/>
      <c r="O97" s="2006"/>
      <c r="P97" s="2006"/>
      <c r="Q97" s="2007"/>
      <c r="R97" s="1967"/>
      <c r="S97" s="88"/>
      <c r="T97" s="88"/>
      <c r="U97" s="88"/>
      <c r="V97" s="88"/>
      <c r="W97" s="88"/>
      <c r="X97" s="89"/>
      <c r="Y97" s="89"/>
      <c r="Z97" s="89"/>
    </row>
    <row r="98" spans="1:27">
      <c r="A98" s="1960"/>
      <c r="B98" s="1999"/>
      <c r="C98" s="2000"/>
      <c r="D98" s="2001"/>
      <c r="E98" s="2021" t="s">
        <v>1536</v>
      </c>
      <c r="F98" s="2003" t="s">
        <v>1699</v>
      </c>
      <c r="G98" s="2004"/>
      <c r="H98" s="2008">
        <f>ROUND(kl(F98),Config!$C$104)</f>
        <v>1.2990999999999999</v>
      </c>
      <c r="I98" s="2006"/>
      <c r="J98" s="2006"/>
      <c r="K98" s="2006"/>
      <c r="L98" s="2006"/>
      <c r="M98" s="2006"/>
      <c r="N98" s="2006"/>
      <c r="O98" s="2006"/>
      <c r="P98" s="2006"/>
      <c r="Q98" s="2007"/>
      <c r="R98" s="1967"/>
      <c r="S98" s="88"/>
      <c r="T98" s="88"/>
      <c r="U98" s="88"/>
      <c r="V98" s="88"/>
      <c r="W98" s="88"/>
      <c r="X98" s="89"/>
      <c r="Y98" s="89"/>
      <c r="Z98" s="89"/>
    </row>
    <row r="99" spans="1:27" ht="63">
      <c r="A99" s="2080">
        <v>72</v>
      </c>
      <c r="B99" s="2081">
        <v>7</v>
      </c>
      <c r="C99" s="2078" t="s">
        <v>1913</v>
      </c>
      <c r="D99" s="2082" t="s">
        <v>1914</v>
      </c>
      <c r="E99" s="2083" t="s">
        <v>1547</v>
      </c>
      <c r="F99" s="2089" t="s">
        <v>1915</v>
      </c>
      <c r="G99" s="2079" t="s">
        <v>1848</v>
      </c>
      <c r="H99" s="2140">
        <f>SUM(H100:H101)</f>
        <v>7.6438000000000006</v>
      </c>
      <c r="I99" s="2121">
        <f>'Don gia XD'!M218</f>
        <v>705775</v>
      </c>
      <c r="J99" s="2085"/>
      <c r="K99" s="2121">
        <f>'Don gia XD'!M224</f>
        <v>248659</v>
      </c>
      <c r="L99" s="2121">
        <f>'Don gia XD'!M226</f>
        <v>9381</v>
      </c>
      <c r="M99" s="2085">
        <f ca="1">'Don gia XD'!M239</f>
        <v>1302021.8086281999</v>
      </c>
      <c r="N99" s="2085">
        <f>H99*I99</f>
        <v>5394802.9450000003</v>
      </c>
      <c r="O99" s="2085">
        <f>H99*J99</f>
        <v>0</v>
      </c>
      <c r="P99" s="2085">
        <f>H99*K99</f>
        <v>1900699.6642000002</v>
      </c>
      <c r="Q99" s="2086">
        <f>H99*L99</f>
        <v>71706.487800000003</v>
      </c>
      <c r="R99" s="2076">
        <f ca="1">H99*M99</f>
        <v>9952394.300792234</v>
      </c>
      <c r="S99" s="2087"/>
      <c r="T99" s="2087"/>
      <c r="U99" s="2087"/>
      <c r="V99" s="2087"/>
      <c r="W99" s="2087"/>
      <c r="X99" s="2088"/>
      <c r="Y99" s="2088"/>
      <c r="Z99" s="2088"/>
      <c r="AA99" s="1956" t="s">
        <v>1830</v>
      </c>
    </row>
    <row r="100" spans="1:27" ht="31.5">
      <c r="A100" s="1960"/>
      <c r="B100" s="1999"/>
      <c r="C100" s="2000"/>
      <c r="D100" s="2001"/>
      <c r="E100" s="2021" t="s">
        <v>1536</v>
      </c>
      <c r="F100" s="2003" t="s">
        <v>1700</v>
      </c>
      <c r="G100" s="2004"/>
      <c r="H100" s="2008">
        <f>ROUND(kl(F100),Config!$C$104)</f>
        <v>1.262</v>
      </c>
      <c r="I100" s="2006"/>
      <c r="J100" s="2006"/>
      <c r="K100" s="2006"/>
      <c r="L100" s="2006"/>
      <c r="M100" s="2006"/>
      <c r="N100" s="2006"/>
      <c r="O100" s="2006"/>
      <c r="P100" s="2006"/>
      <c r="Q100" s="2007"/>
      <c r="R100" s="1967"/>
      <c r="S100" s="88"/>
      <c r="T100" s="88"/>
      <c r="U100" s="88"/>
      <c r="V100" s="88"/>
      <c r="W100" s="88"/>
      <c r="X100" s="89"/>
      <c r="Y100" s="89"/>
      <c r="Z100" s="89"/>
    </row>
    <row r="101" spans="1:27" ht="31.5">
      <c r="A101" s="1960"/>
      <c r="B101" s="1999"/>
      <c r="C101" s="2000"/>
      <c r="D101" s="2001"/>
      <c r="E101" s="2021" t="s">
        <v>1536</v>
      </c>
      <c r="F101" s="2003" t="s">
        <v>1701</v>
      </c>
      <c r="G101" s="2004"/>
      <c r="H101" s="2008">
        <f>ROUND(kl(F101),Config!$C$104)</f>
        <v>6.3818000000000001</v>
      </c>
      <c r="I101" s="2006"/>
      <c r="J101" s="2006"/>
      <c r="K101" s="2006"/>
      <c r="L101" s="2006"/>
      <c r="M101" s="2006"/>
      <c r="N101" s="2006"/>
      <c r="O101" s="2006"/>
      <c r="P101" s="2006"/>
      <c r="Q101" s="2007"/>
      <c r="R101" s="1967"/>
      <c r="S101" s="88"/>
      <c r="T101" s="88"/>
      <c r="U101" s="88"/>
      <c r="V101" s="88"/>
      <c r="W101" s="88"/>
      <c r="X101" s="89"/>
      <c r="Y101" s="89"/>
      <c r="Z101" s="89"/>
    </row>
    <row r="102" spans="1:27">
      <c r="A102" s="1960"/>
      <c r="B102" s="1999"/>
      <c r="C102" s="2000"/>
      <c r="D102" s="2001"/>
      <c r="E102" s="2021"/>
      <c r="F102" s="2009"/>
      <c r="G102" s="2004"/>
      <c r="H102" s="2005"/>
      <c r="I102" s="2006"/>
      <c r="J102" s="2006"/>
      <c r="K102" s="2006"/>
      <c r="L102" s="2006"/>
      <c r="M102" s="2006"/>
      <c r="N102" s="2006"/>
      <c r="O102" s="2006"/>
      <c r="P102" s="2006"/>
      <c r="Q102" s="2007"/>
      <c r="R102" s="1967"/>
      <c r="S102" s="88"/>
      <c r="T102" s="88"/>
      <c r="U102" s="88"/>
      <c r="V102" s="88"/>
      <c r="W102" s="88"/>
      <c r="X102" s="89"/>
      <c r="Y102" s="89"/>
      <c r="Z102" s="89"/>
    </row>
    <row r="103" spans="1:27">
      <c r="A103" s="1961"/>
      <c r="B103" s="1996"/>
      <c r="C103" s="2010"/>
      <c r="D103" s="2011"/>
      <c r="E103" s="2022" t="s">
        <v>304</v>
      </c>
      <c r="F103" s="1978" t="str">
        <f xml:space="preserve"> "Cộng: "&amp;F65</f>
        <v>Cộng: PHẦN MÓNG</v>
      </c>
      <c r="G103" s="1918"/>
      <c r="H103" s="1919"/>
      <c r="I103" s="1920"/>
      <c r="J103" s="1920"/>
      <c r="K103" s="1920"/>
      <c r="L103" s="1942"/>
      <c r="M103" s="1938"/>
      <c r="N103" s="1938">
        <f>SUM(N65:N102)</f>
        <v>39342177.002999999</v>
      </c>
      <c r="O103" s="1938">
        <f>SUM(O65:O102)</f>
        <v>0</v>
      </c>
      <c r="P103" s="1938">
        <f>SUM(P65:P102)</f>
        <v>17356521.0546</v>
      </c>
      <c r="Q103" s="1972">
        <f>SUM(Q65:Q102)</f>
        <v>259187.17910000001</v>
      </c>
      <c r="R103" s="1968">
        <f ca="1">SUM(R65:R102)</f>
        <v>76944650.946006864</v>
      </c>
      <c r="S103" s="1939"/>
      <c r="T103" s="1939"/>
      <c r="U103" s="1939"/>
      <c r="V103" s="1939"/>
      <c r="W103" s="1939"/>
      <c r="X103" s="1940"/>
      <c r="Y103" s="1940"/>
      <c r="Z103" s="1941"/>
    </row>
    <row r="104" spans="1:27">
      <c r="A104" s="1961" t="s">
        <v>1638</v>
      </c>
      <c r="B104" s="1996"/>
      <c r="C104" s="1997"/>
      <c r="D104" s="1998"/>
      <c r="E104" s="2023" t="s">
        <v>1633</v>
      </c>
      <c r="F104" s="1978" t="s">
        <v>1599</v>
      </c>
      <c r="G104" s="1918"/>
      <c r="H104" s="1919"/>
      <c r="I104" s="1920"/>
      <c r="J104" s="1920"/>
      <c r="K104" s="1920"/>
      <c r="L104" s="1920"/>
      <c r="M104" s="1920"/>
      <c r="N104" s="1920"/>
      <c r="O104" s="1920"/>
      <c r="P104" s="1920"/>
      <c r="Q104" s="1971"/>
      <c r="R104" s="1921"/>
      <c r="S104" s="1922"/>
      <c r="T104" s="1922"/>
      <c r="U104" s="1922"/>
      <c r="V104" s="1922"/>
      <c r="W104" s="1922"/>
      <c r="X104" s="1923"/>
      <c r="Y104" s="1923"/>
      <c r="Z104" s="1924"/>
    </row>
    <row r="105" spans="1:27">
      <c r="A105" s="1962"/>
      <c r="B105" s="1948"/>
      <c r="C105" s="1979"/>
      <c r="D105" s="1925"/>
      <c r="E105" s="2024" t="s">
        <v>1536</v>
      </c>
      <c r="F105" s="1926" t="s">
        <v>1639</v>
      </c>
      <c r="G105" s="2004"/>
      <c r="H105" s="2005"/>
      <c r="I105" s="2006"/>
      <c r="J105" s="2006"/>
      <c r="K105" s="2006"/>
      <c r="L105" s="2006"/>
      <c r="M105" s="2006"/>
      <c r="N105" s="2006"/>
      <c r="O105" s="2006"/>
      <c r="P105" s="2006"/>
      <c r="Q105" s="2007"/>
      <c r="R105" s="1967"/>
      <c r="S105" s="88"/>
      <c r="T105" s="88"/>
      <c r="U105" s="88"/>
      <c r="V105" s="88"/>
      <c r="W105" s="88"/>
      <c r="X105" s="89"/>
      <c r="Y105" s="89"/>
      <c r="Z105" s="89"/>
    </row>
    <row r="106" spans="1:27" ht="47.25">
      <c r="A106" s="2080">
        <v>73</v>
      </c>
      <c r="B106" s="2081">
        <v>1</v>
      </c>
      <c r="C106" s="2078" t="s">
        <v>1536</v>
      </c>
      <c r="D106" s="2082" t="s">
        <v>1548</v>
      </c>
      <c r="E106" s="2083" t="s">
        <v>1548</v>
      </c>
      <c r="F106" s="2089" t="s">
        <v>1918</v>
      </c>
      <c r="G106" s="2079" t="s">
        <v>1873</v>
      </c>
      <c r="H106" s="2088">
        <f>SUM(H107:H121)</f>
        <v>0.50970000000000004</v>
      </c>
      <c r="I106" s="2121">
        <f>'Don gia XD'!M242</f>
        <v>6362798</v>
      </c>
      <c r="J106" s="2085"/>
      <c r="K106" s="2121">
        <f>'Don gia XD'!M248</f>
        <v>6283750</v>
      </c>
      <c r="L106" s="2085"/>
      <c r="M106" s="2085">
        <f ca="1">'Don gia XD'!M260</f>
        <v>17084275.82042544</v>
      </c>
      <c r="N106" s="2085">
        <f>H106*I106</f>
        <v>3243118.1406</v>
      </c>
      <c r="O106" s="2085">
        <f>H106*J106</f>
        <v>0</v>
      </c>
      <c r="P106" s="2085">
        <f>H106*K106</f>
        <v>3202827.3750000005</v>
      </c>
      <c r="Q106" s="2086">
        <f>H106*L106</f>
        <v>0</v>
      </c>
      <c r="R106" s="2076">
        <f ca="1">H106*M106</f>
        <v>8707855.3856708482</v>
      </c>
      <c r="S106" s="2087"/>
      <c r="T106" s="2087"/>
      <c r="U106" s="2087"/>
      <c r="V106" s="2087"/>
      <c r="W106" s="2087"/>
      <c r="X106" s="2088"/>
      <c r="Y106" s="2088"/>
      <c r="Z106" s="2088"/>
      <c r="AA106" s="79" t="s">
        <v>1830</v>
      </c>
    </row>
    <row r="107" spans="1:27">
      <c r="A107" s="1960"/>
      <c r="B107" s="1999"/>
      <c r="C107" s="2000"/>
      <c r="D107" s="2001"/>
      <c r="E107" s="2021" t="s">
        <v>1536</v>
      </c>
      <c r="F107" s="2003" t="s">
        <v>1653</v>
      </c>
      <c r="G107" s="2004"/>
      <c r="H107" s="2005"/>
      <c r="I107" s="2006"/>
      <c r="J107" s="2006"/>
      <c r="K107" s="2006"/>
      <c r="L107" s="2006"/>
      <c r="M107" s="2006"/>
      <c r="N107" s="2006"/>
      <c r="O107" s="2006"/>
      <c r="P107" s="2006"/>
      <c r="Q107" s="2007"/>
      <c r="R107" s="1967"/>
      <c r="S107" s="88"/>
      <c r="T107" s="88"/>
      <c r="U107" s="88"/>
      <c r="V107" s="88"/>
      <c r="W107" s="88"/>
      <c r="X107" s="89"/>
      <c r="Y107" s="89"/>
      <c r="Z107" s="89"/>
    </row>
    <row r="108" spans="1:27" ht="31.5">
      <c r="A108" s="1960"/>
      <c r="B108" s="1999"/>
      <c r="C108" s="2000"/>
      <c r="D108" s="2001"/>
      <c r="E108" s="2021" t="s">
        <v>1536</v>
      </c>
      <c r="F108" s="2003" t="s">
        <v>1702</v>
      </c>
      <c r="G108" s="2004"/>
      <c r="H108" s="2008">
        <f>ROUND(kl(F108),Config!$C$104)</f>
        <v>3.0599999999999999E-2</v>
      </c>
      <c r="I108" s="2006"/>
      <c r="J108" s="2006"/>
      <c r="K108" s="2006"/>
      <c r="L108" s="2006"/>
      <c r="M108" s="2006"/>
      <c r="N108" s="2006"/>
      <c r="O108" s="2006"/>
      <c r="P108" s="2006"/>
      <c r="Q108" s="2007"/>
      <c r="R108" s="1967"/>
      <c r="S108" s="88"/>
      <c r="T108" s="88"/>
      <c r="U108" s="88"/>
      <c r="V108" s="88"/>
      <c r="W108" s="88"/>
      <c r="X108" s="89"/>
      <c r="Y108" s="89"/>
      <c r="Z108" s="89"/>
    </row>
    <row r="109" spans="1:27" ht="31.5">
      <c r="A109" s="1960"/>
      <c r="B109" s="1999"/>
      <c r="C109" s="2000"/>
      <c r="D109" s="2001"/>
      <c r="E109" s="2021" t="s">
        <v>1536</v>
      </c>
      <c r="F109" s="2003" t="s">
        <v>1703</v>
      </c>
      <c r="G109" s="2004"/>
      <c r="H109" s="2008">
        <f>ROUND(kl(F109),Config!$C$104)</f>
        <v>1.47E-2</v>
      </c>
      <c r="I109" s="2006"/>
      <c r="J109" s="2006"/>
      <c r="K109" s="2006"/>
      <c r="L109" s="2006"/>
      <c r="M109" s="2006"/>
      <c r="N109" s="2006"/>
      <c r="O109" s="2006"/>
      <c r="P109" s="2006"/>
      <c r="Q109" s="2007"/>
      <c r="R109" s="1967"/>
      <c r="S109" s="88"/>
      <c r="T109" s="88"/>
      <c r="U109" s="88"/>
      <c r="V109" s="88"/>
      <c r="W109" s="88"/>
      <c r="X109" s="89"/>
      <c r="Y109" s="89"/>
      <c r="Z109" s="89"/>
    </row>
    <row r="110" spans="1:27">
      <c r="A110" s="1960"/>
      <c r="B110" s="1999"/>
      <c r="C110" s="2000"/>
      <c r="D110" s="2001"/>
      <c r="E110" s="2021" t="s">
        <v>1536</v>
      </c>
      <c r="F110" s="2003" t="s">
        <v>1654</v>
      </c>
      <c r="G110" s="2004"/>
      <c r="H110" s="2005"/>
      <c r="I110" s="2006"/>
      <c r="J110" s="2006"/>
      <c r="K110" s="2006"/>
      <c r="L110" s="2006"/>
      <c r="M110" s="2006"/>
      <c r="N110" s="2006"/>
      <c r="O110" s="2006"/>
      <c r="P110" s="2006"/>
      <c r="Q110" s="2007"/>
      <c r="R110" s="1967"/>
      <c r="S110" s="88"/>
      <c r="T110" s="88"/>
      <c r="U110" s="88"/>
      <c r="V110" s="88"/>
      <c r="W110" s="88"/>
      <c r="X110" s="89"/>
      <c r="Y110" s="89"/>
      <c r="Z110" s="89"/>
    </row>
    <row r="111" spans="1:27">
      <c r="A111" s="1960"/>
      <c r="B111" s="1999"/>
      <c r="C111" s="2000"/>
      <c r="D111" s="2001"/>
      <c r="E111" s="2021" t="s">
        <v>1536</v>
      </c>
      <c r="F111" s="2003" t="s">
        <v>1704</v>
      </c>
      <c r="G111" s="2004"/>
      <c r="H111" s="2008">
        <f>ROUND(kl(F111),Config!$C$104)</f>
        <v>0.24199999999999999</v>
      </c>
      <c r="I111" s="2006"/>
      <c r="J111" s="2006"/>
      <c r="K111" s="2006"/>
      <c r="L111" s="2006"/>
      <c r="M111" s="2006"/>
      <c r="N111" s="2006"/>
      <c r="O111" s="2006"/>
      <c r="P111" s="2006"/>
      <c r="Q111" s="2007"/>
      <c r="R111" s="1967"/>
      <c r="S111" s="88"/>
      <c r="T111" s="88"/>
      <c r="U111" s="88"/>
      <c r="V111" s="88"/>
      <c r="W111" s="88"/>
      <c r="X111" s="89"/>
      <c r="Y111" s="89"/>
      <c r="Z111" s="89"/>
    </row>
    <row r="112" spans="1:27">
      <c r="A112" s="1960"/>
      <c r="B112" s="1999"/>
      <c r="C112" s="2000"/>
      <c r="D112" s="2001"/>
      <c r="E112" s="2021" t="s">
        <v>1536</v>
      </c>
      <c r="F112" s="2003" t="s">
        <v>1658</v>
      </c>
      <c r="G112" s="2004"/>
      <c r="H112" s="2008"/>
      <c r="I112" s="2006"/>
      <c r="J112" s="2006"/>
      <c r="K112" s="2006"/>
      <c r="L112" s="2006"/>
      <c r="M112" s="2006"/>
      <c r="N112" s="2006"/>
      <c r="O112" s="2006"/>
      <c r="P112" s="2006"/>
      <c r="Q112" s="2007"/>
      <c r="R112" s="1967"/>
      <c r="S112" s="88"/>
      <c r="T112" s="88"/>
      <c r="U112" s="88"/>
      <c r="V112" s="88"/>
      <c r="W112" s="88"/>
      <c r="X112" s="89"/>
      <c r="Y112" s="89"/>
      <c r="Z112" s="89"/>
    </row>
    <row r="113" spans="1:27" ht="31.5">
      <c r="A113" s="1960"/>
      <c r="B113" s="1999"/>
      <c r="C113" s="2000"/>
      <c r="D113" s="2001"/>
      <c r="E113" s="2021" t="s">
        <v>1536</v>
      </c>
      <c r="F113" s="2003" t="s">
        <v>1705</v>
      </c>
      <c r="G113" s="2004"/>
      <c r="H113" s="2008">
        <f>ROUND(kl(F113),Config!$C$104)</f>
        <v>5.8999999999999997E-2</v>
      </c>
      <c r="I113" s="2006"/>
      <c r="J113" s="2006"/>
      <c r="K113" s="2006"/>
      <c r="L113" s="2006"/>
      <c r="M113" s="2006"/>
      <c r="N113" s="2006"/>
      <c r="O113" s="2006"/>
      <c r="P113" s="2006"/>
      <c r="Q113" s="2007"/>
      <c r="R113" s="1967"/>
      <c r="S113" s="88"/>
      <c r="T113" s="88"/>
      <c r="U113" s="88"/>
      <c r="V113" s="88"/>
      <c r="W113" s="88"/>
      <c r="X113" s="89"/>
      <c r="Y113" s="89"/>
      <c r="Z113" s="89"/>
    </row>
    <row r="114" spans="1:27" ht="31.5">
      <c r="A114" s="1960"/>
      <c r="B114" s="1999"/>
      <c r="C114" s="2000"/>
      <c r="D114" s="2001"/>
      <c r="E114" s="2021" t="s">
        <v>1536</v>
      </c>
      <c r="F114" s="2003" t="s">
        <v>1706</v>
      </c>
      <c r="G114" s="2004"/>
      <c r="H114" s="2008">
        <f>ROUND(kl(F114),Config!$C$104)</f>
        <v>5.3699999999999998E-2</v>
      </c>
      <c r="I114" s="2006"/>
      <c r="J114" s="2006"/>
      <c r="K114" s="2006"/>
      <c r="L114" s="2006"/>
      <c r="M114" s="2006"/>
      <c r="N114" s="2006"/>
      <c r="O114" s="2006"/>
      <c r="P114" s="2006"/>
      <c r="Q114" s="2007"/>
      <c r="R114" s="1967"/>
      <c r="S114" s="88"/>
      <c r="T114" s="88"/>
      <c r="U114" s="88"/>
      <c r="V114" s="88"/>
      <c r="W114" s="88"/>
      <c r="X114" s="89"/>
      <c r="Y114" s="89"/>
      <c r="Z114" s="89"/>
    </row>
    <row r="115" spans="1:27" ht="31.5">
      <c r="A115" s="1960"/>
      <c r="B115" s="1999"/>
      <c r="C115" s="2000"/>
      <c r="D115" s="2001"/>
      <c r="E115" s="2021" t="s">
        <v>1536</v>
      </c>
      <c r="F115" s="2003" t="s">
        <v>1707</v>
      </c>
      <c r="G115" s="2004"/>
      <c r="H115" s="2008">
        <f>ROUND(kl(F115),Config!$C$104)</f>
        <v>5.1000000000000004E-3</v>
      </c>
      <c r="I115" s="2006"/>
      <c r="J115" s="2006"/>
      <c r="K115" s="2006"/>
      <c r="L115" s="2006"/>
      <c r="M115" s="2006"/>
      <c r="N115" s="2006"/>
      <c r="O115" s="2006"/>
      <c r="P115" s="2006"/>
      <c r="Q115" s="2007"/>
      <c r="R115" s="1967"/>
      <c r="S115" s="88"/>
      <c r="T115" s="88"/>
      <c r="U115" s="88"/>
      <c r="V115" s="88"/>
      <c r="W115" s="88"/>
      <c r="X115" s="89"/>
      <c r="Y115" s="89"/>
      <c r="Z115" s="89"/>
    </row>
    <row r="116" spans="1:27">
      <c r="A116" s="1960"/>
      <c r="B116" s="1999"/>
      <c r="C116" s="2000"/>
      <c r="D116" s="2001"/>
      <c r="E116" s="2021" t="s">
        <v>1536</v>
      </c>
      <c r="F116" s="2003" t="s">
        <v>1600</v>
      </c>
      <c r="G116" s="2004"/>
      <c r="H116" s="2005"/>
      <c r="I116" s="2006"/>
      <c r="J116" s="2006"/>
      <c r="K116" s="2006"/>
      <c r="L116" s="2006"/>
      <c r="M116" s="2006"/>
      <c r="N116" s="2006"/>
      <c r="O116" s="2006"/>
      <c r="P116" s="2006"/>
      <c r="Q116" s="2007"/>
      <c r="R116" s="1967"/>
      <c r="S116" s="88"/>
      <c r="T116" s="88"/>
      <c r="U116" s="88"/>
      <c r="V116" s="88"/>
      <c r="W116" s="88"/>
      <c r="X116" s="89"/>
      <c r="Y116" s="89"/>
      <c r="Z116" s="89"/>
    </row>
    <row r="117" spans="1:27" ht="31.5">
      <c r="A117" s="1960"/>
      <c r="B117" s="1999"/>
      <c r="C117" s="2000"/>
      <c r="D117" s="2001"/>
      <c r="E117" s="2021" t="s">
        <v>1536</v>
      </c>
      <c r="F117" s="2003" t="s">
        <v>1708</v>
      </c>
      <c r="G117" s="2004"/>
      <c r="H117" s="2008">
        <f>ROUND(kl(F117),Config!$C$104)</f>
        <v>1.2200000000000001E-2</v>
      </c>
      <c r="I117" s="2006"/>
      <c r="J117" s="2006"/>
      <c r="K117" s="2006"/>
      <c r="L117" s="2006"/>
      <c r="M117" s="2006"/>
      <c r="N117" s="2006"/>
      <c r="O117" s="2006"/>
      <c r="P117" s="2006"/>
      <c r="Q117" s="2007"/>
      <c r="R117" s="1967"/>
      <c r="S117" s="88"/>
      <c r="T117" s="88"/>
      <c r="U117" s="88"/>
      <c r="V117" s="88"/>
      <c r="W117" s="88"/>
      <c r="X117" s="89"/>
      <c r="Y117" s="89"/>
      <c r="Z117" s="89"/>
    </row>
    <row r="118" spans="1:27" ht="31.5">
      <c r="A118" s="1960"/>
      <c r="B118" s="1999"/>
      <c r="C118" s="2000"/>
      <c r="D118" s="2001"/>
      <c r="E118" s="2021" t="s">
        <v>1536</v>
      </c>
      <c r="F118" s="2003" t="s">
        <v>1709</v>
      </c>
      <c r="G118" s="2004"/>
      <c r="H118" s="2008">
        <f>ROUND(kl(F118),Config!$C$104)</f>
        <v>1.11E-2</v>
      </c>
      <c r="I118" s="2006"/>
      <c r="J118" s="2006"/>
      <c r="K118" s="2006"/>
      <c r="L118" s="2006"/>
      <c r="M118" s="2006"/>
      <c r="N118" s="2006"/>
      <c r="O118" s="2006"/>
      <c r="P118" s="2006"/>
      <c r="Q118" s="2007"/>
      <c r="R118" s="1967"/>
      <c r="S118" s="88"/>
      <c r="T118" s="88"/>
      <c r="U118" s="88"/>
      <c r="V118" s="88"/>
      <c r="W118" s="88"/>
      <c r="X118" s="89"/>
      <c r="Y118" s="89"/>
      <c r="Z118" s="89"/>
    </row>
    <row r="119" spans="1:27" ht="31.5">
      <c r="A119" s="1960"/>
      <c r="B119" s="1999"/>
      <c r="C119" s="2000"/>
      <c r="D119" s="2001"/>
      <c r="E119" s="2021" t="s">
        <v>1536</v>
      </c>
      <c r="F119" s="2003" t="s">
        <v>1710</v>
      </c>
      <c r="G119" s="2004"/>
      <c r="H119" s="2008">
        <f>ROUND(kl(F119),Config!$C$104)</f>
        <v>1.2999999999999999E-3</v>
      </c>
      <c r="I119" s="2006"/>
      <c r="J119" s="2006"/>
      <c r="K119" s="2006"/>
      <c r="L119" s="2006"/>
      <c r="M119" s="2006"/>
      <c r="N119" s="2006"/>
      <c r="O119" s="2006"/>
      <c r="P119" s="2006"/>
      <c r="Q119" s="2007"/>
      <c r="R119" s="1967"/>
      <c r="S119" s="88"/>
      <c r="T119" s="88"/>
      <c r="U119" s="88"/>
      <c r="V119" s="88"/>
      <c r="W119" s="88"/>
      <c r="X119" s="89"/>
      <c r="Y119" s="89"/>
      <c r="Z119" s="89"/>
    </row>
    <row r="120" spans="1:27">
      <c r="A120" s="1960"/>
      <c r="B120" s="1999"/>
      <c r="C120" s="2000"/>
      <c r="D120" s="2001"/>
      <c r="E120" s="2021" t="s">
        <v>1536</v>
      </c>
      <c r="F120" s="2003" t="s">
        <v>1655</v>
      </c>
      <c r="G120" s="2004"/>
      <c r="H120" s="2005"/>
      <c r="I120" s="2006"/>
      <c r="J120" s="2006"/>
      <c r="K120" s="2006"/>
      <c r="L120" s="2006"/>
      <c r="M120" s="2006"/>
      <c r="N120" s="2006"/>
      <c r="O120" s="2006"/>
      <c r="P120" s="2006"/>
      <c r="Q120" s="2007"/>
      <c r="R120" s="1967"/>
      <c r="S120" s="88"/>
      <c r="T120" s="88"/>
      <c r="U120" s="88"/>
      <c r="V120" s="88"/>
      <c r="W120" s="88"/>
      <c r="X120" s="89"/>
      <c r="Y120" s="89"/>
      <c r="Z120" s="89"/>
    </row>
    <row r="121" spans="1:27">
      <c r="A121" s="1960"/>
      <c r="B121" s="1999"/>
      <c r="C121" s="2000"/>
      <c r="D121" s="2001"/>
      <c r="E121" s="2021" t="s">
        <v>1536</v>
      </c>
      <c r="F121" s="2003" t="s">
        <v>1711</v>
      </c>
      <c r="G121" s="2004"/>
      <c r="H121" s="2008">
        <f>ROUND(kl(F121),Config!$C$104)</f>
        <v>0.08</v>
      </c>
      <c r="I121" s="2006"/>
      <c r="J121" s="2006"/>
      <c r="K121" s="2006"/>
      <c r="L121" s="2006"/>
      <c r="M121" s="2006"/>
      <c r="N121" s="2006"/>
      <c r="O121" s="2006"/>
      <c r="P121" s="2006"/>
      <c r="Q121" s="2007"/>
      <c r="R121" s="1967"/>
      <c r="S121" s="88"/>
      <c r="T121" s="88"/>
      <c r="U121" s="88"/>
      <c r="V121" s="88"/>
      <c r="W121" s="88"/>
      <c r="X121" s="89"/>
      <c r="Y121" s="89"/>
      <c r="Z121" s="89"/>
    </row>
    <row r="122" spans="1:27" ht="47.25">
      <c r="A122" s="2080">
        <v>74</v>
      </c>
      <c r="B122" s="2081">
        <v>2</v>
      </c>
      <c r="C122" s="2078" t="s">
        <v>1536</v>
      </c>
      <c r="D122" s="2082" t="s">
        <v>1549</v>
      </c>
      <c r="E122" s="2083" t="s">
        <v>1549</v>
      </c>
      <c r="F122" s="2089" t="s">
        <v>1919</v>
      </c>
      <c r="G122" s="2079" t="s">
        <v>1884</v>
      </c>
      <c r="H122" s="2140">
        <f>SUM(H123:H126)</f>
        <v>0.14990000000000001</v>
      </c>
      <c r="I122" s="2121">
        <f>'Don gia XD'!M262</f>
        <v>22644390</v>
      </c>
      <c r="J122" s="2085"/>
      <c r="K122" s="2121">
        <f>'Don gia XD'!M265</f>
        <v>3516615</v>
      </c>
      <c r="L122" s="2121">
        <f>'Don gia XD'!M267</f>
        <v>13870</v>
      </c>
      <c r="M122" s="2085">
        <f ca="1">'Don gia XD'!M279</f>
        <v>35359750.665964998</v>
      </c>
      <c r="N122" s="2085">
        <f>H122*I122</f>
        <v>3394394.0610000002</v>
      </c>
      <c r="O122" s="2085">
        <f>H122*J122</f>
        <v>0</v>
      </c>
      <c r="P122" s="2085">
        <f>H122*K122</f>
        <v>527140.58850000007</v>
      </c>
      <c r="Q122" s="2086">
        <f>H122*L122</f>
        <v>2079.1130000000003</v>
      </c>
      <c r="R122" s="2076">
        <f ca="1">H122*M122</f>
        <v>5300426.6248281533</v>
      </c>
      <c r="S122" s="2087"/>
      <c r="T122" s="2087"/>
      <c r="U122" s="2087"/>
      <c r="V122" s="2087"/>
      <c r="W122" s="2087"/>
      <c r="X122" s="2088"/>
      <c r="Y122" s="2088"/>
      <c r="Z122" s="2088"/>
      <c r="AA122" s="79" t="s">
        <v>1830</v>
      </c>
    </row>
    <row r="123" spans="1:27">
      <c r="A123" s="1960"/>
      <c r="B123" s="1999"/>
      <c r="C123" s="2000"/>
      <c r="D123" s="2001"/>
      <c r="E123" s="2021" t="s">
        <v>1536</v>
      </c>
      <c r="F123" s="2003" t="s">
        <v>1712</v>
      </c>
      <c r="G123" s="2004"/>
      <c r="H123" s="2008">
        <f>ROUND(kl(F123),Config!$C$104)</f>
        <v>1.12E-2</v>
      </c>
      <c r="I123" s="2006"/>
      <c r="J123" s="2006"/>
      <c r="K123" s="2006"/>
      <c r="L123" s="2006"/>
      <c r="M123" s="2006"/>
      <c r="N123" s="2006"/>
      <c r="O123" s="2006"/>
      <c r="P123" s="2006"/>
      <c r="Q123" s="2007"/>
      <c r="R123" s="1967"/>
      <c r="S123" s="88"/>
      <c r="T123" s="88"/>
      <c r="U123" s="88"/>
      <c r="V123" s="88"/>
      <c r="W123" s="88"/>
      <c r="X123" s="89"/>
      <c r="Y123" s="89"/>
      <c r="Z123" s="89"/>
    </row>
    <row r="124" spans="1:27">
      <c r="A124" s="1960"/>
      <c r="B124" s="1999"/>
      <c r="C124" s="2000"/>
      <c r="D124" s="2001"/>
      <c r="E124" s="2021" t="s">
        <v>1536</v>
      </c>
      <c r="F124" s="2003" t="s">
        <v>1713</v>
      </c>
      <c r="G124" s="2004"/>
      <c r="H124" s="2008">
        <f>ROUND(kl(F124),Config!$C$104)</f>
        <v>0.1013</v>
      </c>
      <c r="I124" s="2006"/>
      <c r="J124" s="2006"/>
      <c r="K124" s="2006"/>
      <c r="L124" s="2006"/>
      <c r="M124" s="2006"/>
      <c r="N124" s="2006"/>
      <c r="O124" s="2006"/>
      <c r="P124" s="2006"/>
      <c r="Q124" s="2007"/>
      <c r="R124" s="1967"/>
      <c r="S124" s="88"/>
      <c r="T124" s="88"/>
      <c r="U124" s="88"/>
      <c r="V124" s="88"/>
      <c r="W124" s="88"/>
      <c r="X124" s="89"/>
      <c r="Y124" s="89"/>
      <c r="Z124" s="89"/>
    </row>
    <row r="125" spans="1:27">
      <c r="A125" s="1960"/>
      <c r="B125" s="1999"/>
      <c r="C125" s="2000"/>
      <c r="D125" s="2001"/>
      <c r="E125" s="2021" t="s">
        <v>1536</v>
      </c>
      <c r="F125" s="2003" t="s">
        <v>1714</v>
      </c>
      <c r="G125" s="2004"/>
      <c r="H125" s="2008">
        <f>ROUND(kl(F125),Config!$C$104)</f>
        <v>1.6400000000000001E-2</v>
      </c>
      <c r="I125" s="2006"/>
      <c r="J125" s="2006"/>
      <c r="K125" s="2006"/>
      <c r="L125" s="2006"/>
      <c r="M125" s="2006"/>
      <c r="N125" s="2006"/>
      <c r="O125" s="2006"/>
      <c r="P125" s="2006"/>
      <c r="Q125" s="2007"/>
      <c r="R125" s="1967"/>
      <c r="S125" s="88"/>
      <c r="T125" s="88"/>
      <c r="U125" s="88"/>
      <c r="V125" s="88"/>
      <c r="W125" s="88"/>
      <c r="X125" s="89"/>
      <c r="Y125" s="89"/>
      <c r="Z125" s="89"/>
    </row>
    <row r="126" spans="1:27" ht="31.5">
      <c r="A126" s="1960"/>
      <c r="B126" s="1999"/>
      <c r="C126" s="2000"/>
      <c r="D126" s="2001"/>
      <c r="E126" s="2021" t="s">
        <v>1536</v>
      </c>
      <c r="F126" s="2003" t="s">
        <v>1715</v>
      </c>
      <c r="G126" s="2004"/>
      <c r="H126" s="2008">
        <f>ROUND(kl(F126),Config!$C$104)</f>
        <v>2.1000000000000001E-2</v>
      </c>
      <c r="I126" s="2006"/>
      <c r="J126" s="2006"/>
      <c r="K126" s="2006"/>
      <c r="L126" s="2006"/>
      <c r="M126" s="2006"/>
      <c r="N126" s="2006"/>
      <c r="O126" s="2006"/>
      <c r="P126" s="2006"/>
      <c r="Q126" s="2007"/>
      <c r="R126" s="1967"/>
      <c r="S126" s="88"/>
      <c r="T126" s="88"/>
      <c r="U126" s="88"/>
      <c r="V126" s="88"/>
      <c r="W126" s="88"/>
      <c r="X126" s="89"/>
      <c r="Y126" s="89"/>
      <c r="Z126" s="89"/>
    </row>
    <row r="127" spans="1:27" ht="47.25">
      <c r="A127" s="2080">
        <v>75</v>
      </c>
      <c r="B127" s="2081">
        <v>3</v>
      </c>
      <c r="C127" s="2078" t="s">
        <v>1536</v>
      </c>
      <c r="D127" s="2082" t="s">
        <v>1550</v>
      </c>
      <c r="E127" s="2083" t="s">
        <v>1550</v>
      </c>
      <c r="F127" s="2089" t="s">
        <v>1920</v>
      </c>
      <c r="G127" s="2079" t="s">
        <v>1884</v>
      </c>
      <c r="H127" s="2140">
        <f>SUM(H128:H131)</f>
        <v>0.95259999999999989</v>
      </c>
      <c r="I127" s="2121">
        <f>'Don gia XD'!M281</f>
        <v>22789260</v>
      </c>
      <c r="J127" s="2085"/>
      <c r="K127" s="2121">
        <f>'Don gia XD'!M285</f>
        <v>2111340</v>
      </c>
      <c r="L127" s="2121">
        <f>'Don gia XD'!M287</f>
        <v>147281</v>
      </c>
      <c r="M127" s="2085">
        <f ca="1">'Don gia XD'!M300</f>
        <v>33837289.64783068</v>
      </c>
      <c r="N127" s="2085">
        <f>H127*I127</f>
        <v>21709049.075999998</v>
      </c>
      <c r="O127" s="2085">
        <f>H127*J127</f>
        <v>0</v>
      </c>
      <c r="P127" s="2085">
        <f>H127*K127</f>
        <v>2011262.4839999997</v>
      </c>
      <c r="Q127" s="2086">
        <f>H127*L127</f>
        <v>140299.88059999997</v>
      </c>
      <c r="R127" s="2076">
        <f ca="1">H127*M127</f>
        <v>32233402.118523501</v>
      </c>
      <c r="S127" s="2087"/>
      <c r="T127" s="2087"/>
      <c r="U127" s="2087"/>
      <c r="V127" s="2087"/>
      <c r="W127" s="2087"/>
      <c r="X127" s="2088"/>
      <c r="Y127" s="2088"/>
      <c r="Z127" s="2088"/>
      <c r="AA127" s="79" t="s">
        <v>1830</v>
      </c>
    </row>
    <row r="128" spans="1:27">
      <c r="A128" s="1960"/>
      <c r="B128" s="1999"/>
      <c r="C128" s="2000"/>
      <c r="D128" s="2001"/>
      <c r="E128" s="2021" t="s">
        <v>1536</v>
      </c>
      <c r="F128" s="2003" t="s">
        <v>1716</v>
      </c>
      <c r="G128" s="2004"/>
      <c r="H128" s="2008">
        <f>ROUND(kl(F128),Config!$C$104)</f>
        <v>8.5000000000000006E-2</v>
      </c>
      <c r="I128" s="2006"/>
      <c r="J128" s="2006"/>
      <c r="K128" s="2006"/>
      <c r="L128" s="2006"/>
      <c r="M128" s="2006"/>
      <c r="N128" s="2006"/>
      <c r="O128" s="2006"/>
      <c r="P128" s="2006"/>
      <c r="Q128" s="2007"/>
      <c r="R128" s="1967"/>
      <c r="S128" s="88"/>
      <c r="T128" s="88"/>
      <c r="U128" s="88"/>
      <c r="V128" s="88"/>
      <c r="W128" s="88"/>
      <c r="X128" s="89"/>
      <c r="Y128" s="89"/>
      <c r="Z128" s="89"/>
    </row>
    <row r="129" spans="1:27">
      <c r="A129" s="1960"/>
      <c r="B129" s="1999"/>
      <c r="C129" s="2000"/>
      <c r="D129" s="2001"/>
      <c r="E129" s="2021" t="s">
        <v>1536</v>
      </c>
      <c r="F129" s="2003" t="s">
        <v>1717</v>
      </c>
      <c r="G129" s="2004"/>
      <c r="H129" s="2008">
        <f>ROUND(kl(F129),Config!$C$104)</f>
        <v>0.72909999999999997</v>
      </c>
      <c r="I129" s="2006"/>
      <c r="J129" s="2006"/>
      <c r="K129" s="2006"/>
      <c r="L129" s="2006"/>
      <c r="M129" s="2006"/>
      <c r="N129" s="2006"/>
      <c r="O129" s="2006"/>
      <c r="P129" s="2006"/>
      <c r="Q129" s="2007"/>
      <c r="R129" s="1967"/>
      <c r="S129" s="88"/>
      <c r="T129" s="88"/>
      <c r="U129" s="88"/>
      <c r="V129" s="88"/>
      <c r="W129" s="88"/>
      <c r="X129" s="89"/>
      <c r="Y129" s="89"/>
      <c r="Z129" s="89"/>
    </row>
    <row r="130" spans="1:27">
      <c r="A130" s="1960"/>
      <c r="B130" s="1999"/>
      <c r="C130" s="2000"/>
      <c r="D130" s="2001"/>
      <c r="E130" s="2021" t="s">
        <v>1536</v>
      </c>
      <c r="F130" s="2003" t="s">
        <v>1718</v>
      </c>
      <c r="G130" s="2004"/>
      <c r="H130" s="2008">
        <f>ROUND(kl(F130),Config!$C$104)</f>
        <v>6.7699999999999996E-2</v>
      </c>
      <c r="I130" s="2006"/>
      <c r="J130" s="2006"/>
      <c r="K130" s="2006"/>
      <c r="L130" s="2006"/>
      <c r="M130" s="2006"/>
      <c r="N130" s="2006"/>
      <c r="O130" s="2006"/>
      <c r="P130" s="2006"/>
      <c r="Q130" s="2007"/>
      <c r="R130" s="1967"/>
      <c r="S130" s="88"/>
      <c r="T130" s="88"/>
      <c r="U130" s="88"/>
      <c r="V130" s="88"/>
      <c r="W130" s="88"/>
      <c r="X130" s="89"/>
      <c r="Y130" s="89"/>
      <c r="Z130" s="89"/>
    </row>
    <row r="131" spans="1:27" ht="31.5">
      <c r="A131" s="1960"/>
      <c r="B131" s="1999"/>
      <c r="C131" s="2000"/>
      <c r="D131" s="2001"/>
      <c r="E131" s="2021" t="s">
        <v>1536</v>
      </c>
      <c r="F131" s="2003" t="s">
        <v>1719</v>
      </c>
      <c r="G131" s="2004"/>
      <c r="H131" s="2008">
        <f>ROUND(kl(F131),Config!$C$104)</f>
        <v>7.0800000000000002E-2</v>
      </c>
      <c r="I131" s="2006"/>
      <c r="J131" s="2006"/>
      <c r="K131" s="2006"/>
      <c r="L131" s="2006"/>
      <c r="M131" s="2006"/>
      <c r="N131" s="2006"/>
      <c r="O131" s="2006"/>
      <c r="P131" s="2006"/>
      <c r="Q131" s="2007"/>
      <c r="R131" s="1967"/>
      <c r="S131" s="88"/>
      <c r="T131" s="88"/>
      <c r="U131" s="88"/>
      <c r="V131" s="88"/>
      <c r="W131" s="88"/>
      <c r="X131" s="89"/>
      <c r="Y131" s="89"/>
      <c r="Z131" s="89"/>
    </row>
    <row r="132" spans="1:27" ht="78.75">
      <c r="A132" s="2080">
        <v>76</v>
      </c>
      <c r="B132" s="2081">
        <v>4</v>
      </c>
      <c r="C132" s="2078" t="s">
        <v>1898</v>
      </c>
      <c r="D132" s="2082" t="s">
        <v>1921</v>
      </c>
      <c r="E132" s="2083" t="s">
        <v>1551</v>
      </c>
      <c r="F132" s="2089" t="s">
        <v>1922</v>
      </c>
      <c r="G132" s="2079" t="s">
        <v>1848</v>
      </c>
      <c r="H132" s="2140">
        <f>SUM(H133:H143)</f>
        <v>2.8466</v>
      </c>
      <c r="I132" s="2121">
        <f>'Don gia XD'!M302</f>
        <v>758092</v>
      </c>
      <c r="J132" s="2085"/>
      <c r="K132" s="2121">
        <f>'Don gia XD'!M308</f>
        <v>557916</v>
      </c>
      <c r="L132" s="2121">
        <f>'Don gia XD'!M310</f>
        <v>12474</v>
      </c>
      <c r="M132" s="2085">
        <f ca="1">'Don gia XD'!M323</f>
        <v>1794652.0197029598</v>
      </c>
      <c r="N132" s="2085">
        <f>H132*I132</f>
        <v>2157984.6872</v>
      </c>
      <c r="O132" s="2085">
        <f>H132*J132</f>
        <v>0</v>
      </c>
      <c r="P132" s="2085">
        <f>H132*K132</f>
        <v>1588163.6856</v>
      </c>
      <c r="Q132" s="2086">
        <f>H132*L132</f>
        <v>35508.488400000002</v>
      </c>
      <c r="R132" s="2076">
        <f ca="1">H132*M132</f>
        <v>5108656.4392864453</v>
      </c>
      <c r="S132" s="2087"/>
      <c r="T132" s="2087"/>
      <c r="U132" s="2087"/>
      <c r="V132" s="2087"/>
      <c r="W132" s="2087"/>
      <c r="X132" s="2088"/>
      <c r="Y132" s="2088"/>
      <c r="Z132" s="2088"/>
      <c r="AA132" s="1956" t="s">
        <v>1830</v>
      </c>
    </row>
    <row r="133" spans="1:27">
      <c r="A133" s="1960"/>
      <c r="B133" s="1999"/>
      <c r="C133" s="2000"/>
      <c r="D133" s="2001"/>
      <c r="E133" s="2021" t="s">
        <v>1536</v>
      </c>
      <c r="F133" s="2003" t="s">
        <v>1720</v>
      </c>
      <c r="G133" s="2004"/>
      <c r="H133" s="2008">
        <f>ROUND(kl(F133),Config!$C$104)</f>
        <v>0.33639999999999998</v>
      </c>
      <c r="I133" s="2006"/>
      <c r="J133" s="2006"/>
      <c r="K133" s="2006"/>
      <c r="L133" s="2006"/>
      <c r="M133" s="2006"/>
      <c r="N133" s="2006"/>
      <c r="O133" s="2006"/>
      <c r="P133" s="2006"/>
      <c r="Q133" s="2007"/>
      <c r="R133" s="1967"/>
      <c r="S133" s="88"/>
      <c r="T133" s="88"/>
      <c r="U133" s="88"/>
      <c r="V133" s="88"/>
      <c r="W133" s="88"/>
      <c r="X133" s="89"/>
      <c r="Y133" s="89"/>
      <c r="Z133" s="89"/>
    </row>
    <row r="134" spans="1:27">
      <c r="A134" s="1960"/>
      <c r="B134" s="1999"/>
      <c r="C134" s="2000"/>
      <c r="D134" s="2001"/>
      <c r="E134" s="2021" t="s">
        <v>1536</v>
      </c>
      <c r="F134" s="2003" t="s">
        <v>1721</v>
      </c>
      <c r="G134" s="2004"/>
      <c r="H134" s="2008">
        <f>ROUND(kl(F134),Config!$C$104)</f>
        <v>1.331</v>
      </c>
      <c r="I134" s="2006"/>
      <c r="J134" s="2006"/>
      <c r="K134" s="2006"/>
      <c r="L134" s="2006"/>
      <c r="M134" s="2006"/>
      <c r="N134" s="2006"/>
      <c r="O134" s="2006"/>
      <c r="P134" s="2006"/>
      <c r="Q134" s="2007"/>
      <c r="R134" s="1967"/>
      <c r="S134" s="88"/>
      <c r="T134" s="88"/>
      <c r="U134" s="88"/>
      <c r="V134" s="88"/>
      <c r="W134" s="88"/>
      <c r="X134" s="89"/>
      <c r="Y134" s="89"/>
      <c r="Z134" s="89"/>
    </row>
    <row r="135" spans="1:27">
      <c r="A135" s="1960"/>
      <c r="B135" s="1999"/>
      <c r="C135" s="2000"/>
      <c r="D135" s="2001"/>
      <c r="E135" s="2021" t="s">
        <v>1536</v>
      </c>
      <c r="F135" s="2003" t="s">
        <v>1657</v>
      </c>
      <c r="G135" s="2004"/>
      <c r="H135" s="2008"/>
      <c r="I135" s="2006"/>
      <c r="J135" s="2006"/>
      <c r="K135" s="2006"/>
      <c r="L135" s="2006"/>
      <c r="M135" s="2006"/>
      <c r="N135" s="2006"/>
      <c r="O135" s="2006"/>
      <c r="P135" s="2006"/>
      <c r="Q135" s="2007"/>
      <c r="R135" s="1967"/>
      <c r="S135" s="88"/>
      <c r="T135" s="88"/>
      <c r="U135" s="88"/>
      <c r="V135" s="88"/>
      <c r="W135" s="88"/>
      <c r="X135" s="89"/>
      <c r="Y135" s="89"/>
      <c r="Z135" s="89"/>
    </row>
    <row r="136" spans="1:27" ht="31.5">
      <c r="A136" s="1960"/>
      <c r="B136" s="1999"/>
      <c r="C136" s="2000"/>
      <c r="D136" s="2001"/>
      <c r="E136" s="2021" t="s">
        <v>1536</v>
      </c>
      <c r="F136" s="2003" t="s">
        <v>1722</v>
      </c>
      <c r="G136" s="2004"/>
      <c r="H136" s="2008">
        <f>ROUND(kl(F136),Config!$C$104)</f>
        <v>0.59050000000000002</v>
      </c>
      <c r="I136" s="2006"/>
      <c r="J136" s="2006"/>
      <c r="K136" s="2006"/>
      <c r="L136" s="2006"/>
      <c r="M136" s="2006"/>
      <c r="N136" s="2006"/>
      <c r="O136" s="2006"/>
      <c r="P136" s="2006"/>
      <c r="Q136" s="2007"/>
      <c r="R136" s="1967"/>
      <c r="S136" s="88"/>
      <c r="T136" s="88"/>
      <c r="U136" s="88"/>
      <c r="V136" s="88"/>
      <c r="W136" s="88"/>
      <c r="X136" s="89"/>
      <c r="Y136" s="89"/>
      <c r="Z136" s="89"/>
    </row>
    <row r="137" spans="1:27">
      <c r="A137" s="1960"/>
      <c r="B137" s="1999"/>
      <c r="C137" s="2000"/>
      <c r="D137" s="2001"/>
      <c r="E137" s="2021" t="s">
        <v>1536</v>
      </c>
      <c r="F137" s="2003" t="s">
        <v>1723</v>
      </c>
      <c r="G137" s="2004"/>
      <c r="H137" s="2008">
        <f>ROUND(kl(F137),Config!$C$104)</f>
        <v>1.7600000000000001E-2</v>
      </c>
      <c r="I137" s="2006"/>
      <c r="J137" s="2006"/>
      <c r="K137" s="2006"/>
      <c r="L137" s="2006"/>
      <c r="M137" s="2006"/>
      <c r="N137" s="2006"/>
      <c r="O137" s="2006"/>
      <c r="P137" s="2006"/>
      <c r="Q137" s="2007"/>
      <c r="R137" s="1967"/>
      <c r="S137" s="88"/>
      <c r="T137" s="88"/>
      <c r="U137" s="88"/>
      <c r="V137" s="88"/>
      <c r="W137" s="88"/>
      <c r="X137" s="89"/>
      <c r="Y137" s="89"/>
      <c r="Z137" s="89"/>
    </row>
    <row r="138" spans="1:27">
      <c r="A138" s="1960"/>
      <c r="B138" s="1999"/>
      <c r="C138" s="2000"/>
      <c r="D138" s="2001"/>
      <c r="E138" s="2021" t="s">
        <v>1536</v>
      </c>
      <c r="F138" s="2003" t="s">
        <v>1600</v>
      </c>
      <c r="G138" s="2004"/>
      <c r="H138" s="2005"/>
      <c r="I138" s="2006"/>
      <c r="J138" s="2006"/>
      <c r="K138" s="2006"/>
      <c r="L138" s="2006"/>
      <c r="M138" s="2006"/>
      <c r="N138" s="2006"/>
      <c r="O138" s="2006"/>
      <c r="P138" s="2006"/>
      <c r="Q138" s="2007"/>
      <c r="R138" s="1967"/>
      <c r="S138" s="88"/>
      <c r="T138" s="88"/>
      <c r="U138" s="88"/>
      <c r="V138" s="88"/>
      <c r="W138" s="88"/>
      <c r="X138" s="89"/>
      <c r="Y138" s="89"/>
      <c r="Z138" s="89"/>
    </row>
    <row r="139" spans="1:27" ht="31.5">
      <c r="A139" s="1960"/>
      <c r="B139" s="1999"/>
      <c r="C139" s="2000"/>
      <c r="D139" s="2001"/>
      <c r="E139" s="2021" t="s">
        <v>1536</v>
      </c>
      <c r="F139" s="2003" t="s">
        <v>1724</v>
      </c>
      <c r="G139" s="2004"/>
      <c r="H139" s="2008">
        <f>ROUND(kl(F139),Config!$C$104)</f>
        <v>0.12230000000000001</v>
      </c>
      <c r="I139" s="2006"/>
      <c r="J139" s="2006"/>
      <c r="K139" s="2006"/>
      <c r="L139" s="2006"/>
      <c r="M139" s="2006"/>
      <c r="N139" s="2006"/>
      <c r="O139" s="2006"/>
      <c r="P139" s="2006"/>
      <c r="Q139" s="2007"/>
      <c r="R139" s="1967"/>
      <c r="S139" s="88"/>
      <c r="T139" s="88"/>
      <c r="U139" s="88"/>
      <c r="V139" s="88"/>
      <c r="W139" s="88"/>
      <c r="X139" s="89"/>
      <c r="Y139" s="89"/>
      <c r="Z139" s="89"/>
    </row>
    <row r="140" spans="1:27">
      <c r="A140" s="1960"/>
      <c r="B140" s="1999"/>
      <c r="C140" s="2000"/>
      <c r="D140" s="2001"/>
      <c r="E140" s="2021" t="s">
        <v>1536</v>
      </c>
      <c r="F140" s="2003" t="s">
        <v>1725</v>
      </c>
      <c r="G140" s="2004"/>
      <c r="H140" s="2008">
        <f>ROUND(kl(F140),Config!$C$104)</f>
        <v>8.8000000000000005E-3</v>
      </c>
      <c r="I140" s="2006"/>
      <c r="J140" s="2006"/>
      <c r="K140" s="2006"/>
      <c r="L140" s="2006"/>
      <c r="M140" s="2006"/>
      <c r="N140" s="2006"/>
      <c r="O140" s="2006"/>
      <c r="P140" s="2006"/>
      <c r="Q140" s="2007"/>
      <c r="R140" s="1967"/>
      <c r="S140" s="88"/>
      <c r="T140" s="88"/>
      <c r="U140" s="88"/>
      <c r="V140" s="88"/>
      <c r="W140" s="88"/>
      <c r="X140" s="89"/>
      <c r="Y140" s="89"/>
      <c r="Z140" s="89"/>
    </row>
    <row r="141" spans="1:27">
      <c r="A141" s="1960"/>
      <c r="B141" s="1999"/>
      <c r="C141" s="2000"/>
      <c r="D141" s="2001"/>
      <c r="E141" s="2021" t="s">
        <v>1536</v>
      </c>
      <c r="F141" s="2003" t="s">
        <v>1655</v>
      </c>
      <c r="G141" s="2004"/>
      <c r="H141" s="2005"/>
      <c r="I141" s="2006"/>
      <c r="J141" s="2006"/>
      <c r="K141" s="2006"/>
      <c r="L141" s="2006"/>
      <c r="M141" s="2006"/>
      <c r="N141" s="2006"/>
      <c r="O141" s="2006"/>
      <c r="P141" s="2006"/>
      <c r="Q141" s="2007"/>
      <c r="R141" s="1967"/>
      <c r="S141" s="88"/>
      <c r="T141" s="88"/>
      <c r="U141" s="88"/>
      <c r="V141" s="88"/>
      <c r="W141" s="88"/>
      <c r="X141" s="89"/>
      <c r="Y141" s="89"/>
      <c r="Z141" s="89"/>
    </row>
    <row r="142" spans="1:27">
      <c r="A142" s="1960"/>
      <c r="B142" s="1999"/>
      <c r="C142" s="2000"/>
      <c r="D142" s="2001"/>
      <c r="E142" s="2021" t="s">
        <v>1536</v>
      </c>
      <c r="F142" s="2003" t="s">
        <v>1726</v>
      </c>
      <c r="G142" s="2004"/>
      <c r="H142" s="2008">
        <f>ROUND(kl(F142),Config!$C$104)</f>
        <v>0.44</v>
      </c>
      <c r="I142" s="2006"/>
      <c r="J142" s="2006"/>
      <c r="K142" s="2006"/>
      <c r="L142" s="2006"/>
      <c r="M142" s="2006"/>
      <c r="N142" s="2006"/>
      <c r="O142" s="2006"/>
      <c r="P142" s="2006"/>
      <c r="Q142" s="2007"/>
      <c r="R142" s="1967"/>
      <c r="S142" s="88"/>
      <c r="T142" s="88"/>
      <c r="U142" s="88"/>
      <c r="V142" s="88"/>
      <c r="W142" s="88"/>
      <c r="X142" s="89"/>
      <c r="Y142" s="89"/>
      <c r="Z142" s="89"/>
    </row>
    <row r="143" spans="1:27">
      <c r="A143" s="1960"/>
      <c r="B143" s="1999"/>
      <c r="C143" s="2000"/>
      <c r="D143" s="2001"/>
      <c r="E143" s="2021" t="s">
        <v>1536</v>
      </c>
      <c r="F143" s="1917" t="s">
        <v>1656</v>
      </c>
      <c r="G143" s="2004"/>
      <c r="H143" s="2005"/>
      <c r="I143" s="2006"/>
      <c r="J143" s="2006"/>
      <c r="K143" s="2006"/>
      <c r="L143" s="2006"/>
      <c r="M143" s="2006"/>
      <c r="N143" s="2006"/>
      <c r="O143" s="2006"/>
      <c r="P143" s="2006"/>
      <c r="Q143" s="2007"/>
      <c r="R143" s="1967"/>
      <c r="S143" s="88"/>
      <c r="T143" s="88"/>
      <c r="U143" s="88"/>
      <c r="V143" s="88"/>
      <c r="W143" s="88"/>
      <c r="X143" s="89"/>
      <c r="Y143" s="89"/>
      <c r="Z143" s="89"/>
    </row>
    <row r="144" spans="1:27" ht="63">
      <c r="A144" s="2080">
        <v>77</v>
      </c>
      <c r="B144" s="2081">
        <v>5</v>
      </c>
      <c r="C144" s="2078" t="s">
        <v>1536</v>
      </c>
      <c r="D144" s="2082" t="s">
        <v>1552</v>
      </c>
      <c r="E144" s="2083" t="s">
        <v>1552</v>
      </c>
      <c r="F144" s="2089" t="s">
        <v>1923</v>
      </c>
      <c r="G144" s="2079" t="s">
        <v>1873</v>
      </c>
      <c r="H144" s="2088">
        <f>SUM(H145:H155)</f>
        <v>0.1376</v>
      </c>
      <c r="I144" s="2121">
        <f>'Don gia XD'!M325</f>
        <v>5090804</v>
      </c>
      <c r="J144" s="2085"/>
      <c r="K144" s="2121">
        <f>'Don gia XD'!M331</f>
        <v>6505395</v>
      </c>
      <c r="L144" s="2085"/>
      <c r="M144" s="2085">
        <f ca="1">'Don gia XD'!M343</f>
        <v>15665354.860831721</v>
      </c>
      <c r="N144" s="2085">
        <f>H144*I144</f>
        <v>700494.63040000002</v>
      </c>
      <c r="O144" s="2085">
        <f>H144*J144</f>
        <v>0</v>
      </c>
      <c r="P144" s="2085">
        <f>H144*K144</f>
        <v>895142.35199999996</v>
      </c>
      <c r="Q144" s="2086">
        <f>H144*L144</f>
        <v>0</v>
      </c>
      <c r="R144" s="2076">
        <f ca="1">H144*M144</f>
        <v>2155552.8288504449</v>
      </c>
      <c r="S144" s="2087"/>
      <c r="T144" s="2087"/>
      <c r="U144" s="2087"/>
      <c r="V144" s="2087"/>
      <c r="W144" s="2087"/>
      <c r="X144" s="2088"/>
      <c r="Y144" s="2088"/>
      <c r="Z144" s="2088"/>
      <c r="AA144" s="79" t="s">
        <v>1830</v>
      </c>
    </row>
    <row r="145" spans="1:27">
      <c r="A145" s="1960"/>
      <c r="B145" s="1999"/>
      <c r="C145" s="2000"/>
      <c r="D145" s="2001"/>
      <c r="E145" s="2021" t="s">
        <v>1536</v>
      </c>
      <c r="F145" s="2003" t="s">
        <v>1601</v>
      </c>
      <c r="G145" s="2004"/>
      <c r="H145" s="2005"/>
      <c r="I145" s="2006"/>
      <c r="J145" s="2006"/>
      <c r="K145" s="2006"/>
      <c r="L145" s="2006"/>
      <c r="M145" s="2006"/>
      <c r="N145" s="2006"/>
      <c r="O145" s="2006"/>
      <c r="P145" s="2006"/>
      <c r="Q145" s="2007"/>
      <c r="R145" s="1967"/>
      <c r="S145" s="88"/>
      <c r="T145" s="88"/>
      <c r="U145" s="88"/>
      <c r="V145" s="88"/>
      <c r="W145" s="88"/>
      <c r="X145" s="89"/>
      <c r="Y145" s="89"/>
      <c r="Z145" s="89"/>
    </row>
    <row r="146" spans="1:27" ht="31.5">
      <c r="A146" s="1960"/>
      <c r="B146" s="1999"/>
      <c r="C146" s="2000"/>
      <c r="D146" s="2001"/>
      <c r="E146" s="2021" t="s">
        <v>1536</v>
      </c>
      <c r="F146" s="2003" t="s">
        <v>1727</v>
      </c>
      <c r="G146" s="2004"/>
      <c r="H146" s="2008">
        <f>ROUND(kl(F146),Config!$C$104)</f>
        <v>9.4999999999999998E-3</v>
      </c>
      <c r="I146" s="2006"/>
      <c r="J146" s="2006"/>
      <c r="K146" s="2006"/>
      <c r="L146" s="2006"/>
      <c r="M146" s="2006"/>
      <c r="N146" s="2006"/>
      <c r="O146" s="2006"/>
      <c r="P146" s="2006"/>
      <c r="Q146" s="2007"/>
      <c r="R146" s="1967"/>
      <c r="S146" s="88"/>
      <c r="T146" s="88"/>
      <c r="U146" s="88"/>
      <c r="V146" s="88"/>
      <c r="W146" s="88"/>
      <c r="X146" s="89"/>
      <c r="Y146" s="89"/>
      <c r="Z146" s="89"/>
    </row>
    <row r="147" spans="1:27" ht="31.5">
      <c r="A147" s="1960"/>
      <c r="B147" s="1999"/>
      <c r="C147" s="2000"/>
      <c r="D147" s="2001"/>
      <c r="E147" s="2021" t="s">
        <v>1536</v>
      </c>
      <c r="F147" s="2003" t="s">
        <v>1728</v>
      </c>
      <c r="G147" s="2004"/>
      <c r="H147" s="2008">
        <f>ROUND(kl(F147),Config!$C$104)</f>
        <v>3.8999999999999998E-3</v>
      </c>
      <c r="I147" s="2006"/>
      <c r="J147" s="2006"/>
      <c r="K147" s="2006"/>
      <c r="L147" s="2006"/>
      <c r="M147" s="2006"/>
      <c r="N147" s="2006"/>
      <c r="O147" s="2006"/>
      <c r="P147" s="2006"/>
      <c r="Q147" s="2007"/>
      <c r="R147" s="1967"/>
      <c r="S147" s="88"/>
      <c r="T147" s="88"/>
      <c r="U147" s="88"/>
      <c r="V147" s="88"/>
      <c r="W147" s="88"/>
      <c r="X147" s="89"/>
      <c r="Y147" s="89"/>
      <c r="Z147" s="89"/>
    </row>
    <row r="148" spans="1:27" ht="31.5">
      <c r="A148" s="1960"/>
      <c r="B148" s="1999"/>
      <c r="C148" s="2000"/>
      <c r="D148" s="2001"/>
      <c r="E148" s="2021" t="s">
        <v>1536</v>
      </c>
      <c r="F148" s="2003" t="s">
        <v>1729</v>
      </c>
      <c r="G148" s="2004"/>
      <c r="H148" s="2008">
        <f>ROUND(kl(F148),Config!$C$104)</f>
        <v>2.3E-2</v>
      </c>
      <c r="I148" s="2006"/>
      <c r="J148" s="2006"/>
      <c r="K148" s="2006"/>
      <c r="L148" s="2006"/>
      <c r="M148" s="2006"/>
      <c r="N148" s="2006"/>
      <c r="O148" s="2006"/>
      <c r="P148" s="2006"/>
      <c r="Q148" s="2007"/>
      <c r="R148" s="1967"/>
      <c r="S148" s="88"/>
      <c r="T148" s="88"/>
      <c r="U148" s="88"/>
      <c r="V148" s="88"/>
      <c r="W148" s="88"/>
      <c r="X148" s="89"/>
      <c r="Y148" s="89"/>
      <c r="Z148" s="89"/>
    </row>
    <row r="149" spans="1:27" ht="31.5">
      <c r="A149" s="1960"/>
      <c r="B149" s="1999"/>
      <c r="C149" s="2000"/>
      <c r="D149" s="2001"/>
      <c r="E149" s="2021" t="s">
        <v>1536</v>
      </c>
      <c r="F149" s="2003" t="s">
        <v>1730</v>
      </c>
      <c r="G149" s="2004"/>
      <c r="H149" s="2008">
        <f>ROUND(kl(F149),Config!$C$104)</f>
        <v>4.8999999999999998E-3</v>
      </c>
      <c r="I149" s="2006"/>
      <c r="J149" s="2006"/>
      <c r="K149" s="2006"/>
      <c r="L149" s="2006"/>
      <c r="M149" s="2006"/>
      <c r="N149" s="2006"/>
      <c r="O149" s="2006"/>
      <c r="P149" s="2006"/>
      <c r="Q149" s="2007"/>
      <c r="R149" s="1967"/>
      <c r="S149" s="88"/>
      <c r="T149" s="88"/>
      <c r="U149" s="88"/>
      <c r="V149" s="88"/>
      <c r="W149" s="88"/>
      <c r="X149" s="89"/>
      <c r="Y149" s="89"/>
      <c r="Z149" s="89"/>
    </row>
    <row r="150" spans="1:27">
      <c r="A150" s="1960"/>
      <c r="B150" s="1999"/>
      <c r="C150" s="2000"/>
      <c r="D150" s="2001"/>
      <c r="E150" s="2021" t="s">
        <v>1536</v>
      </c>
      <c r="F150" s="2003" t="s">
        <v>1731</v>
      </c>
      <c r="G150" s="2004"/>
      <c r="H150" s="2008">
        <f>ROUND(kl(F150),Config!$C$104)</f>
        <v>1.43E-2</v>
      </c>
      <c r="I150" s="2006"/>
      <c r="J150" s="2006"/>
      <c r="K150" s="2006"/>
      <c r="L150" s="2006"/>
      <c r="M150" s="2006"/>
      <c r="N150" s="2006"/>
      <c r="O150" s="2006"/>
      <c r="P150" s="2006"/>
      <c r="Q150" s="2007"/>
      <c r="R150" s="1967"/>
      <c r="S150" s="88"/>
      <c r="T150" s="88"/>
      <c r="U150" s="88"/>
      <c r="V150" s="88"/>
      <c r="W150" s="88"/>
      <c r="X150" s="89"/>
      <c r="Y150" s="89"/>
      <c r="Z150" s="89"/>
    </row>
    <row r="151" spans="1:27">
      <c r="A151" s="1960"/>
      <c r="B151" s="1999"/>
      <c r="C151" s="2000"/>
      <c r="D151" s="2001"/>
      <c r="E151" s="2021" t="s">
        <v>1536</v>
      </c>
      <c r="F151" s="2003" t="s">
        <v>1602</v>
      </c>
      <c r="G151" s="2004"/>
      <c r="H151" s="2005"/>
      <c r="I151" s="2006"/>
      <c r="J151" s="2006"/>
      <c r="K151" s="2006"/>
      <c r="L151" s="2006"/>
      <c r="M151" s="2006"/>
      <c r="N151" s="2006"/>
      <c r="O151" s="2006"/>
      <c r="P151" s="2006"/>
      <c r="Q151" s="2007"/>
      <c r="R151" s="1967"/>
      <c r="S151" s="88"/>
      <c r="T151" s="88"/>
      <c r="U151" s="88"/>
      <c r="V151" s="88"/>
      <c r="W151" s="88"/>
      <c r="X151" s="89"/>
      <c r="Y151" s="89"/>
      <c r="Z151" s="89"/>
    </row>
    <row r="152" spans="1:27" ht="31.5">
      <c r="A152" s="1960"/>
      <c r="B152" s="1999"/>
      <c r="C152" s="2000"/>
      <c r="D152" s="2001"/>
      <c r="E152" s="2021" t="s">
        <v>1536</v>
      </c>
      <c r="F152" s="2003" t="s">
        <v>1732</v>
      </c>
      <c r="G152" s="2004"/>
      <c r="H152" s="2008">
        <f>ROUND(kl(F152),Config!$C$104)</f>
        <v>5.3E-3</v>
      </c>
      <c r="I152" s="2006"/>
      <c r="J152" s="2006"/>
      <c r="K152" s="2006"/>
      <c r="L152" s="2006"/>
      <c r="M152" s="2006"/>
      <c r="N152" s="2006"/>
      <c r="O152" s="2006"/>
      <c r="P152" s="2006"/>
      <c r="Q152" s="2007"/>
      <c r="R152" s="1967"/>
      <c r="S152" s="88"/>
      <c r="T152" s="88"/>
      <c r="U152" s="88"/>
      <c r="V152" s="88"/>
      <c r="W152" s="88"/>
      <c r="X152" s="89"/>
      <c r="Y152" s="89"/>
      <c r="Z152" s="89"/>
    </row>
    <row r="153" spans="1:27" ht="31.5">
      <c r="A153" s="1960"/>
      <c r="B153" s="1999"/>
      <c r="C153" s="2000"/>
      <c r="D153" s="2001"/>
      <c r="E153" s="2021" t="s">
        <v>1536</v>
      </c>
      <c r="F153" s="2003" t="s">
        <v>1733</v>
      </c>
      <c r="G153" s="2004"/>
      <c r="H153" s="2008">
        <f>ROUND(kl(F153),Config!$C$104)</f>
        <v>2E-3</v>
      </c>
      <c r="I153" s="2006"/>
      <c r="J153" s="2006"/>
      <c r="K153" s="2006"/>
      <c r="L153" s="2006"/>
      <c r="M153" s="2006"/>
      <c r="N153" s="2006"/>
      <c r="O153" s="2006"/>
      <c r="P153" s="2006"/>
      <c r="Q153" s="2007"/>
      <c r="R153" s="1967"/>
      <c r="S153" s="88"/>
      <c r="T153" s="88"/>
      <c r="U153" s="88"/>
      <c r="V153" s="88"/>
      <c r="W153" s="88"/>
      <c r="X153" s="89"/>
      <c r="Y153" s="89"/>
      <c r="Z153" s="89"/>
    </row>
    <row r="154" spans="1:27" ht="31.5">
      <c r="A154" s="1960"/>
      <c r="B154" s="1999"/>
      <c r="C154" s="2000"/>
      <c r="D154" s="2001"/>
      <c r="E154" s="2021" t="s">
        <v>1536</v>
      </c>
      <c r="F154" s="2003" t="s">
        <v>1734</v>
      </c>
      <c r="G154" s="2004"/>
      <c r="H154" s="2008">
        <f>ROUND(kl(F154),Config!$C$104)</f>
        <v>7.9000000000000008E-3</v>
      </c>
      <c r="I154" s="2006"/>
      <c r="J154" s="2006"/>
      <c r="K154" s="2006"/>
      <c r="L154" s="2006"/>
      <c r="M154" s="2006"/>
      <c r="N154" s="2006"/>
      <c r="O154" s="2006"/>
      <c r="P154" s="2006"/>
      <c r="Q154" s="2007"/>
      <c r="R154" s="1967"/>
      <c r="S154" s="88"/>
      <c r="T154" s="88"/>
      <c r="U154" s="88"/>
      <c r="V154" s="88"/>
      <c r="W154" s="88"/>
      <c r="X154" s="89"/>
      <c r="Y154" s="89"/>
      <c r="Z154" s="89"/>
    </row>
    <row r="155" spans="1:27">
      <c r="A155" s="1960"/>
      <c r="B155" s="1999"/>
      <c r="C155" s="2000"/>
      <c r="D155" s="2001"/>
      <c r="E155" s="2021" t="s">
        <v>1536</v>
      </c>
      <c r="F155" s="2003" t="s">
        <v>1735</v>
      </c>
      <c r="G155" s="2004"/>
      <c r="H155" s="2008">
        <f>ROUND(kl(F155),Config!$C$104)</f>
        <v>6.6799999999999998E-2</v>
      </c>
      <c r="I155" s="2006"/>
      <c r="J155" s="2006"/>
      <c r="K155" s="2006"/>
      <c r="L155" s="2006"/>
      <c r="M155" s="2006"/>
      <c r="N155" s="2006"/>
      <c r="O155" s="2006"/>
      <c r="P155" s="2006"/>
      <c r="Q155" s="2007"/>
      <c r="R155" s="1967"/>
      <c r="S155" s="88"/>
      <c r="T155" s="88"/>
      <c r="U155" s="88"/>
      <c r="V155" s="88"/>
      <c r="W155" s="88"/>
      <c r="X155" s="89"/>
      <c r="Y155" s="89"/>
      <c r="Z155" s="89"/>
    </row>
    <row r="156" spans="1:27" ht="47.25">
      <c r="A156" s="2080">
        <v>78</v>
      </c>
      <c r="B156" s="2081">
        <v>6</v>
      </c>
      <c r="C156" s="2078" t="s">
        <v>1536</v>
      </c>
      <c r="D156" s="2082" t="s">
        <v>1553</v>
      </c>
      <c r="E156" s="2083" t="s">
        <v>1553</v>
      </c>
      <c r="F156" s="2089" t="s">
        <v>1924</v>
      </c>
      <c r="G156" s="2079" t="s">
        <v>1884</v>
      </c>
      <c r="H156" s="2140">
        <f>SUM(H157:H159)</f>
        <v>4.1099999999999998E-2</v>
      </c>
      <c r="I156" s="2121">
        <f>'Don gia XD'!M345</f>
        <v>22644390</v>
      </c>
      <c r="J156" s="2085"/>
      <c r="K156" s="2121">
        <f>'Don gia XD'!M348</f>
        <v>4218110</v>
      </c>
      <c r="L156" s="2121">
        <f>'Don gia XD'!M350</f>
        <v>13870</v>
      </c>
      <c r="M156" s="2085">
        <f ca="1">'Don gia XD'!M362</f>
        <v>36307403.263863593</v>
      </c>
      <c r="N156" s="2085">
        <f>H156*I156</f>
        <v>930684.429</v>
      </c>
      <c r="O156" s="2085">
        <f>H156*J156</f>
        <v>0</v>
      </c>
      <c r="P156" s="2085">
        <f>H156*K156</f>
        <v>173364.321</v>
      </c>
      <c r="Q156" s="2086">
        <f>H156*L156</f>
        <v>570.05700000000002</v>
      </c>
      <c r="R156" s="2076">
        <f ca="1">H156*M156</f>
        <v>1492234.2741447936</v>
      </c>
      <c r="S156" s="2087"/>
      <c r="T156" s="2087"/>
      <c r="U156" s="2087"/>
      <c r="V156" s="2087"/>
      <c r="W156" s="2087"/>
      <c r="X156" s="2088"/>
      <c r="Y156" s="2088"/>
      <c r="Z156" s="2088"/>
      <c r="AA156" s="79" t="s">
        <v>1830</v>
      </c>
    </row>
    <row r="157" spans="1:27">
      <c r="A157" s="1960"/>
      <c r="B157" s="1999"/>
      <c r="C157" s="2000"/>
      <c r="D157" s="2001"/>
      <c r="E157" s="2021" t="s">
        <v>1536</v>
      </c>
      <c r="F157" s="2003" t="s">
        <v>1736</v>
      </c>
      <c r="G157" s="2004"/>
      <c r="H157" s="2008">
        <f>ROUND(kl(F157),Config!$C$104)</f>
        <v>4.0000000000000001E-3</v>
      </c>
      <c r="I157" s="2006"/>
      <c r="J157" s="2006"/>
      <c r="K157" s="2006"/>
      <c r="L157" s="2006"/>
      <c r="M157" s="2006"/>
      <c r="N157" s="2006"/>
      <c r="O157" s="2006"/>
      <c r="P157" s="2006"/>
      <c r="Q157" s="2007"/>
      <c r="R157" s="1967"/>
      <c r="S157" s="88"/>
      <c r="T157" s="88"/>
      <c r="U157" s="88"/>
      <c r="V157" s="88"/>
      <c r="W157" s="88"/>
      <c r="X157" s="89"/>
      <c r="Y157" s="89"/>
      <c r="Z157" s="89"/>
    </row>
    <row r="158" spans="1:27">
      <c r="A158" s="1960"/>
      <c r="B158" s="1999"/>
      <c r="C158" s="2000"/>
      <c r="D158" s="2001"/>
      <c r="E158" s="2021" t="s">
        <v>1536</v>
      </c>
      <c r="F158" s="2003" t="s">
        <v>1737</v>
      </c>
      <c r="G158" s="2004"/>
      <c r="H158" s="2008">
        <f>ROUND(kl(F158),Config!$C$104)</f>
        <v>8.0000000000000004E-4</v>
      </c>
      <c r="I158" s="2006"/>
      <c r="J158" s="2006"/>
      <c r="K158" s="2006"/>
      <c r="L158" s="2006"/>
      <c r="M158" s="2006"/>
      <c r="N158" s="2006"/>
      <c r="O158" s="2006"/>
      <c r="P158" s="2006"/>
      <c r="Q158" s="2007"/>
      <c r="R158" s="1967"/>
      <c r="S158" s="88"/>
      <c r="T158" s="88"/>
      <c r="U158" s="88"/>
      <c r="V158" s="88"/>
      <c r="W158" s="88"/>
      <c r="X158" s="89"/>
      <c r="Y158" s="89"/>
      <c r="Z158" s="89"/>
    </row>
    <row r="159" spans="1:27">
      <c r="A159" s="1960"/>
      <c r="B159" s="1999"/>
      <c r="C159" s="2000"/>
      <c r="D159" s="2001"/>
      <c r="E159" s="2021" t="s">
        <v>1536</v>
      </c>
      <c r="F159" s="2003" t="s">
        <v>1738</v>
      </c>
      <c r="G159" s="2004"/>
      <c r="H159" s="2008">
        <f>ROUND(kl(F159),Config!$C$104)</f>
        <v>3.6299999999999999E-2</v>
      </c>
      <c r="I159" s="2006"/>
      <c r="J159" s="2006"/>
      <c r="K159" s="2006"/>
      <c r="L159" s="2006"/>
      <c r="M159" s="2006"/>
      <c r="N159" s="2006"/>
      <c r="O159" s="2006"/>
      <c r="P159" s="2006"/>
      <c r="Q159" s="2007"/>
      <c r="R159" s="1967"/>
      <c r="S159" s="88"/>
      <c r="T159" s="88"/>
      <c r="U159" s="88"/>
      <c r="V159" s="88"/>
      <c r="W159" s="88"/>
      <c r="X159" s="89"/>
      <c r="Y159" s="89"/>
      <c r="Z159" s="89"/>
    </row>
    <row r="160" spans="1:27" ht="47.25">
      <c r="A160" s="2080">
        <v>79</v>
      </c>
      <c r="B160" s="2081">
        <v>7</v>
      </c>
      <c r="C160" s="2078" t="s">
        <v>1536</v>
      </c>
      <c r="D160" s="2082" t="s">
        <v>1554</v>
      </c>
      <c r="E160" s="2083" t="s">
        <v>1554</v>
      </c>
      <c r="F160" s="2089" t="s">
        <v>1925</v>
      </c>
      <c r="G160" s="2079" t="s">
        <v>1884</v>
      </c>
      <c r="H160" s="2140">
        <f>SUM(H161:H163)</f>
        <v>7.2300000000000003E-2</v>
      </c>
      <c r="I160" s="2121">
        <f>'Don gia XD'!M364</f>
        <v>22889517</v>
      </c>
      <c r="J160" s="2085"/>
      <c r="K160" s="2121">
        <f>'Don gia XD'!M368</f>
        <v>3582880</v>
      </c>
      <c r="L160" s="2121">
        <f>'Don gia XD'!M370</f>
        <v>146079</v>
      </c>
      <c r="M160" s="2085">
        <f ca="1">'Don gia XD'!M383</f>
        <v>35959013.155477278</v>
      </c>
      <c r="N160" s="2085">
        <f>H160*I160</f>
        <v>1654912.0791</v>
      </c>
      <c r="O160" s="2085">
        <f>H160*J160</f>
        <v>0</v>
      </c>
      <c r="P160" s="2085">
        <f>H160*K160</f>
        <v>259042.22400000002</v>
      </c>
      <c r="Q160" s="2086">
        <f>H160*L160</f>
        <v>10561.511700000001</v>
      </c>
      <c r="R160" s="2076">
        <f ca="1">H160*M160</f>
        <v>2599836.6511410074</v>
      </c>
      <c r="S160" s="2087"/>
      <c r="T160" s="2087"/>
      <c r="U160" s="2087"/>
      <c r="V160" s="2087"/>
      <c r="W160" s="2087"/>
      <c r="X160" s="2088"/>
      <c r="Y160" s="2088"/>
      <c r="Z160" s="2088"/>
      <c r="AA160" s="79" t="s">
        <v>1830</v>
      </c>
    </row>
    <row r="161" spans="1:27">
      <c r="A161" s="1960"/>
      <c r="B161" s="1999"/>
      <c r="C161" s="2000"/>
      <c r="D161" s="2001"/>
      <c r="E161" s="2021" t="s">
        <v>1536</v>
      </c>
      <c r="F161" s="2003" t="s">
        <v>1739</v>
      </c>
      <c r="G161" s="2004"/>
      <c r="H161" s="2008">
        <f>ROUND(kl(F161),Config!$C$104)</f>
        <v>2.3599999999999999E-2</v>
      </c>
      <c r="I161" s="2006"/>
      <c r="J161" s="2006"/>
      <c r="K161" s="2006"/>
      <c r="L161" s="2006"/>
      <c r="M161" s="2006"/>
      <c r="N161" s="2006"/>
      <c r="O161" s="2006"/>
      <c r="P161" s="2006"/>
      <c r="Q161" s="2007"/>
      <c r="R161" s="1967"/>
      <c r="S161" s="88"/>
      <c r="T161" s="88"/>
      <c r="U161" s="88"/>
      <c r="V161" s="88"/>
      <c r="W161" s="88"/>
      <c r="X161" s="89"/>
      <c r="Y161" s="89"/>
      <c r="Z161" s="89"/>
    </row>
    <row r="162" spans="1:27">
      <c r="A162" s="1960"/>
      <c r="B162" s="1999"/>
      <c r="C162" s="2000"/>
      <c r="D162" s="2001"/>
      <c r="E162" s="2021" t="s">
        <v>1536</v>
      </c>
      <c r="F162" s="2003" t="s">
        <v>1740</v>
      </c>
      <c r="G162" s="2004"/>
      <c r="H162" s="2008">
        <f>ROUND(kl(F162),Config!$C$104)</f>
        <v>4.7999999999999996E-3</v>
      </c>
      <c r="I162" s="2006"/>
      <c r="J162" s="2006"/>
      <c r="K162" s="2006"/>
      <c r="L162" s="2006"/>
      <c r="M162" s="2006"/>
      <c r="N162" s="2006"/>
      <c r="O162" s="2006"/>
      <c r="P162" s="2006"/>
      <c r="Q162" s="2007"/>
      <c r="R162" s="1967"/>
      <c r="S162" s="88"/>
      <c r="T162" s="88"/>
      <c r="U162" s="88"/>
      <c r="V162" s="88"/>
      <c r="W162" s="88"/>
      <c r="X162" s="89"/>
      <c r="Y162" s="89"/>
      <c r="Z162" s="89"/>
    </row>
    <row r="163" spans="1:27">
      <c r="A163" s="1960"/>
      <c r="B163" s="1999"/>
      <c r="C163" s="2000"/>
      <c r="D163" s="2001"/>
      <c r="E163" s="2021" t="s">
        <v>1536</v>
      </c>
      <c r="F163" s="2003" t="s">
        <v>1741</v>
      </c>
      <c r="G163" s="2004"/>
      <c r="H163" s="2008">
        <f>ROUND(kl(F163),Config!$C$104)</f>
        <v>4.3900000000000002E-2</v>
      </c>
      <c r="I163" s="2006"/>
      <c r="J163" s="2006"/>
      <c r="K163" s="2006"/>
      <c r="L163" s="2006"/>
      <c r="M163" s="2006"/>
      <c r="N163" s="2006"/>
      <c r="O163" s="2006"/>
      <c r="P163" s="2006"/>
      <c r="Q163" s="2007"/>
      <c r="R163" s="1967"/>
      <c r="S163" s="88"/>
      <c r="T163" s="88"/>
      <c r="U163" s="88"/>
      <c r="V163" s="88"/>
      <c r="W163" s="88"/>
      <c r="X163" s="89"/>
      <c r="Y163" s="89"/>
      <c r="Z163" s="89"/>
    </row>
    <row r="164" spans="1:27" ht="94.5">
      <c r="A164" s="2080">
        <v>80</v>
      </c>
      <c r="B164" s="2081">
        <v>8</v>
      </c>
      <c r="C164" s="2078" t="s">
        <v>1898</v>
      </c>
      <c r="D164" s="2082" t="s">
        <v>1928</v>
      </c>
      <c r="E164" s="2083" t="s">
        <v>1555</v>
      </c>
      <c r="F164" s="2089" t="s">
        <v>1929</v>
      </c>
      <c r="G164" s="2079" t="s">
        <v>1848</v>
      </c>
      <c r="H164" s="2140">
        <f>SUM(H165:H169)</f>
        <v>0.73840000000000006</v>
      </c>
      <c r="I164" s="2121">
        <f>'Don gia XD'!M385</f>
        <v>758092</v>
      </c>
      <c r="J164" s="2085"/>
      <c r="K164" s="2121">
        <f>'Don gia XD'!M391</f>
        <v>607810</v>
      </c>
      <c r="L164" s="2121">
        <f>'Don gia XD'!M393</f>
        <v>31846</v>
      </c>
      <c r="M164" s="2085">
        <f ca="1">'Don gia XD'!M407</f>
        <v>1888223.7555614398</v>
      </c>
      <c r="N164" s="2085">
        <f>H164*I164</f>
        <v>559775.13280000002</v>
      </c>
      <c r="O164" s="2085">
        <f>H164*J164</f>
        <v>0</v>
      </c>
      <c r="P164" s="2085">
        <f>H164*K164</f>
        <v>448806.90400000004</v>
      </c>
      <c r="Q164" s="2086">
        <f>H164*L164</f>
        <v>23515.0864</v>
      </c>
      <c r="R164" s="2076">
        <f ca="1">H164*M164</f>
        <v>1394264.4211065671</v>
      </c>
      <c r="S164" s="2087"/>
      <c r="T164" s="2087"/>
      <c r="U164" s="2087"/>
      <c r="V164" s="2087"/>
      <c r="W164" s="2087"/>
      <c r="X164" s="2088"/>
      <c r="Y164" s="2088"/>
      <c r="Z164" s="2088"/>
      <c r="AA164" s="1956" t="s">
        <v>1830</v>
      </c>
    </row>
    <row r="165" spans="1:27" ht="31.5">
      <c r="A165" s="1960"/>
      <c r="B165" s="1999"/>
      <c r="C165" s="2000"/>
      <c r="D165" s="2001"/>
      <c r="E165" s="2021" t="s">
        <v>1536</v>
      </c>
      <c r="F165" s="2003" t="s">
        <v>1742</v>
      </c>
      <c r="G165" s="2004"/>
      <c r="H165" s="2008">
        <f>ROUND(kl(F165),Config!$C$104)</f>
        <v>5.2400000000000002E-2</v>
      </c>
      <c r="I165" s="2006"/>
      <c r="J165" s="2006"/>
      <c r="K165" s="2006"/>
      <c r="L165" s="2006"/>
      <c r="M165" s="2006"/>
      <c r="N165" s="2006"/>
      <c r="O165" s="2006"/>
      <c r="P165" s="2006"/>
      <c r="Q165" s="2007"/>
      <c r="R165" s="1967"/>
      <c r="S165" s="88"/>
      <c r="T165" s="88"/>
      <c r="U165" s="88"/>
      <c r="V165" s="88"/>
      <c r="W165" s="88"/>
      <c r="X165" s="89"/>
      <c r="Y165" s="89"/>
      <c r="Z165" s="89"/>
    </row>
    <row r="166" spans="1:27">
      <c r="A166" s="1960"/>
      <c r="B166" s="1999"/>
      <c r="C166" s="2000"/>
      <c r="D166" s="2001"/>
      <c r="E166" s="2021" t="s">
        <v>1536</v>
      </c>
      <c r="F166" s="2003" t="s">
        <v>1743</v>
      </c>
      <c r="G166" s="2004"/>
      <c r="H166" s="2008">
        <f>ROUND(kl(F166),Config!$C$104)</f>
        <v>2.1600000000000001E-2</v>
      </c>
      <c r="I166" s="2006"/>
      <c r="J166" s="2006"/>
      <c r="K166" s="2006"/>
      <c r="L166" s="2006"/>
      <c r="M166" s="2006"/>
      <c r="N166" s="2006"/>
      <c r="O166" s="2006"/>
      <c r="P166" s="2006"/>
      <c r="Q166" s="2007"/>
      <c r="R166" s="1967"/>
      <c r="S166" s="88"/>
      <c r="T166" s="88"/>
      <c r="U166" s="88"/>
      <c r="V166" s="88"/>
      <c r="W166" s="88"/>
      <c r="X166" s="89"/>
      <c r="Y166" s="89"/>
      <c r="Z166" s="89"/>
    </row>
    <row r="167" spans="1:27">
      <c r="A167" s="1960"/>
      <c r="B167" s="1999"/>
      <c r="C167" s="2000"/>
      <c r="D167" s="2001"/>
      <c r="E167" s="2021" t="s">
        <v>1536</v>
      </c>
      <c r="F167" s="2003" t="s">
        <v>1744</v>
      </c>
      <c r="G167" s="2004"/>
      <c r="H167" s="2008">
        <f>ROUND(kl(F167),Config!$C$104)</f>
        <v>0.16830000000000001</v>
      </c>
      <c r="I167" s="2006"/>
      <c r="J167" s="2006"/>
      <c r="K167" s="2006"/>
      <c r="L167" s="2006"/>
      <c r="M167" s="2006"/>
      <c r="N167" s="2006"/>
      <c r="O167" s="2006"/>
      <c r="P167" s="2006"/>
      <c r="Q167" s="2007"/>
      <c r="R167" s="1967"/>
      <c r="S167" s="88"/>
      <c r="T167" s="88"/>
      <c r="U167" s="88"/>
      <c r="V167" s="88"/>
      <c r="W167" s="88"/>
      <c r="X167" s="89"/>
      <c r="Y167" s="89"/>
      <c r="Z167" s="89"/>
    </row>
    <row r="168" spans="1:27" ht="31.5">
      <c r="A168" s="1960"/>
      <c r="B168" s="1999"/>
      <c r="C168" s="2000"/>
      <c r="D168" s="2001"/>
      <c r="E168" s="2021" t="s">
        <v>1536</v>
      </c>
      <c r="F168" s="2003" t="s">
        <v>1745</v>
      </c>
      <c r="G168" s="2004"/>
      <c r="H168" s="2008">
        <f>ROUND(kl(F168),Config!$C$104)</f>
        <v>0.41760000000000003</v>
      </c>
      <c r="I168" s="2006"/>
      <c r="J168" s="2006"/>
      <c r="K168" s="2006"/>
      <c r="L168" s="2006"/>
      <c r="M168" s="2006"/>
      <c r="N168" s="2006"/>
      <c r="O168" s="2006"/>
      <c r="P168" s="2006"/>
      <c r="Q168" s="2007"/>
      <c r="R168" s="1967"/>
      <c r="S168" s="88"/>
      <c r="T168" s="88"/>
      <c r="U168" s="88"/>
      <c r="V168" s="88"/>
      <c r="W168" s="88"/>
      <c r="X168" s="89"/>
      <c r="Y168" s="89"/>
      <c r="Z168" s="89"/>
    </row>
    <row r="169" spans="1:27">
      <c r="A169" s="1960"/>
      <c r="B169" s="1999"/>
      <c r="C169" s="2000"/>
      <c r="D169" s="2001"/>
      <c r="E169" s="2021" t="s">
        <v>1536</v>
      </c>
      <c r="F169" s="2003" t="s">
        <v>1746</v>
      </c>
      <c r="G169" s="2004"/>
      <c r="H169" s="2008">
        <f>ROUND(kl(F169),Config!$C$104)</f>
        <v>7.85E-2</v>
      </c>
      <c r="I169" s="2006"/>
      <c r="J169" s="2006"/>
      <c r="K169" s="2006"/>
      <c r="L169" s="2006"/>
      <c r="M169" s="2006"/>
      <c r="N169" s="2006"/>
      <c r="O169" s="2006"/>
      <c r="P169" s="2006"/>
      <c r="Q169" s="2007"/>
      <c r="R169" s="1967"/>
      <c r="S169" s="88"/>
      <c r="T169" s="88"/>
      <c r="U169" s="88"/>
      <c r="V169" s="88"/>
      <c r="W169" s="88"/>
      <c r="X169" s="89"/>
      <c r="Y169" s="89"/>
      <c r="Z169" s="89"/>
    </row>
    <row r="170" spans="1:27">
      <c r="A170" s="1960"/>
      <c r="B170" s="1999"/>
      <c r="C170" s="2000"/>
      <c r="D170" s="2001"/>
      <c r="E170" s="2021" t="s">
        <v>1536</v>
      </c>
      <c r="F170" s="2009"/>
      <c r="G170" s="2004"/>
      <c r="H170" s="2005"/>
      <c r="I170" s="2006"/>
      <c r="J170" s="2006"/>
      <c r="K170" s="2006"/>
      <c r="L170" s="2006"/>
      <c r="M170" s="2006"/>
      <c r="N170" s="2006"/>
      <c r="O170" s="2006"/>
      <c r="P170" s="2006"/>
      <c r="Q170" s="2007"/>
      <c r="R170" s="1967"/>
      <c r="S170" s="88"/>
      <c r="T170" s="88"/>
      <c r="U170" s="88"/>
      <c r="V170" s="88"/>
      <c r="W170" s="88"/>
      <c r="X170" s="89"/>
      <c r="Y170" s="89"/>
      <c r="Z170" s="89"/>
    </row>
    <row r="171" spans="1:27">
      <c r="A171" s="1961"/>
      <c r="B171" s="1996"/>
      <c r="C171" s="2010"/>
      <c r="D171" s="2011"/>
      <c r="E171" s="2022" t="s">
        <v>304</v>
      </c>
      <c r="F171" s="1978" t="str">
        <f xml:space="preserve"> "Cộng: "&amp;F104</f>
        <v>Cộng: PHẦN THÂN</v>
      </c>
      <c r="G171" s="1918"/>
      <c r="H171" s="1919"/>
      <c r="I171" s="1920"/>
      <c r="J171" s="1920"/>
      <c r="K171" s="1920"/>
      <c r="L171" s="1942"/>
      <c r="M171" s="1938"/>
      <c r="N171" s="1938">
        <f>SUM(N104:N170)</f>
        <v>34350412.236099996</v>
      </c>
      <c r="O171" s="1938">
        <f>SUM(O104:O170)</f>
        <v>0</v>
      </c>
      <c r="P171" s="1938">
        <f>SUM(P104:P170)</f>
        <v>9105749.9340999983</v>
      </c>
      <c r="Q171" s="1972">
        <f>SUM(Q104:Q170)</f>
        <v>212534.13709999999</v>
      </c>
      <c r="R171" s="1968">
        <f ca="1">SUM(R104:R170)</f>
        <v>58992228.743551768</v>
      </c>
      <c r="S171" s="1939"/>
      <c r="T171" s="1939"/>
      <c r="U171" s="1939"/>
      <c r="V171" s="1939"/>
      <c r="W171" s="1939"/>
      <c r="X171" s="1940"/>
      <c r="Y171" s="1940"/>
      <c r="Z171" s="1941"/>
    </row>
    <row r="172" spans="1:27">
      <c r="A172" s="1961" t="s">
        <v>1646</v>
      </c>
      <c r="B172" s="1996"/>
      <c r="C172" s="1997"/>
      <c r="D172" s="1998"/>
      <c r="E172" s="2023" t="s">
        <v>1633</v>
      </c>
      <c r="F172" s="1978" t="s">
        <v>1603</v>
      </c>
      <c r="G172" s="1918"/>
      <c r="H172" s="1919"/>
      <c r="I172" s="1920"/>
      <c r="J172" s="1920"/>
      <c r="K172" s="1920"/>
      <c r="L172" s="1920"/>
      <c r="M172" s="1920"/>
      <c r="N172" s="1920"/>
      <c r="O172" s="1920"/>
      <c r="P172" s="1920"/>
      <c r="Q172" s="1971"/>
      <c r="R172" s="1921"/>
      <c r="S172" s="1922"/>
      <c r="T172" s="1922"/>
      <c r="U172" s="1922"/>
      <c r="V172" s="1922"/>
      <c r="W172" s="1922"/>
      <c r="X172" s="1923"/>
      <c r="Y172" s="1923"/>
      <c r="Z172" s="1924"/>
    </row>
    <row r="173" spans="1:27" ht="47.25">
      <c r="A173" s="2029">
        <v>81</v>
      </c>
      <c r="B173" s="2034">
        <v>1</v>
      </c>
      <c r="C173" s="2035" t="s">
        <v>1932</v>
      </c>
      <c r="D173" s="2036" t="s">
        <v>1933</v>
      </c>
      <c r="E173" s="2033" t="s">
        <v>1556</v>
      </c>
      <c r="F173" s="2040" t="s">
        <v>1934</v>
      </c>
      <c r="G173" s="2037" t="s">
        <v>1848</v>
      </c>
      <c r="H173" s="2318">
        <f>SUM(H174:H175)</f>
        <v>20.6236</v>
      </c>
      <c r="I173" s="2072">
        <f>'Don gia XD'!M410</f>
        <v>853401</v>
      </c>
      <c r="J173" s="2038"/>
      <c r="K173" s="2072">
        <f>'Don gia XD'!M416</f>
        <v>822600</v>
      </c>
      <c r="L173" s="2072">
        <f>'Don gia XD'!M418</f>
        <v>1784</v>
      </c>
      <c r="M173" s="2038">
        <f ca="1">'Don gia XD'!M430</f>
        <v>2266526.9374198001</v>
      </c>
      <c r="N173" s="2038">
        <f>H173*I173</f>
        <v>17600200.863600001</v>
      </c>
      <c r="O173" s="2038">
        <f>H173*J173</f>
        <v>0</v>
      </c>
      <c r="P173" s="2038">
        <f>H173*K173</f>
        <v>16964973.359999999</v>
      </c>
      <c r="Q173" s="2039">
        <f>H173*L173</f>
        <v>36792.502399999998</v>
      </c>
      <c r="R173" s="2030">
        <f ca="1">H173*M173</f>
        <v>46743944.946570985</v>
      </c>
      <c r="S173" s="2031"/>
      <c r="T173" s="2031"/>
      <c r="U173" s="2031"/>
      <c r="V173" s="2031"/>
      <c r="W173" s="2031"/>
      <c r="X173" s="2032"/>
      <c r="Y173" s="2032"/>
      <c r="Z173" s="2032"/>
      <c r="AA173" s="1956" t="s">
        <v>1830</v>
      </c>
    </row>
    <row r="174" spans="1:27" ht="31.5">
      <c r="A174" s="1960"/>
      <c r="B174" s="1999"/>
      <c r="C174" s="2000"/>
      <c r="D174" s="2001"/>
      <c r="E174" s="2021" t="s">
        <v>1536</v>
      </c>
      <c r="F174" s="2003" t="s">
        <v>1747</v>
      </c>
      <c r="G174" s="2004"/>
      <c r="H174" s="2008">
        <f>ROUND(kl(F174),Config!$C$104)</f>
        <v>0.89539999999999997</v>
      </c>
      <c r="I174" s="2006"/>
      <c r="J174" s="2006"/>
      <c r="K174" s="2006"/>
      <c r="L174" s="2006"/>
      <c r="M174" s="2006"/>
      <c r="N174" s="2006"/>
      <c r="O174" s="2006"/>
      <c r="P174" s="2006"/>
      <c r="Q174" s="2007"/>
      <c r="R174" s="1967"/>
      <c r="S174" s="88"/>
      <c r="T174" s="88"/>
      <c r="U174" s="88"/>
      <c r="V174" s="88"/>
      <c r="W174" s="88"/>
      <c r="X174" s="89"/>
      <c r="Y174" s="89"/>
      <c r="Z174" s="89"/>
    </row>
    <row r="175" spans="1:27" ht="63">
      <c r="A175" s="2080">
        <v>82</v>
      </c>
      <c r="B175" s="2081">
        <v>2</v>
      </c>
      <c r="C175" s="2078" t="s">
        <v>1932</v>
      </c>
      <c r="D175" s="2082" t="s">
        <v>1940</v>
      </c>
      <c r="E175" s="2083" t="s">
        <v>1557</v>
      </c>
      <c r="F175" s="2089" t="s">
        <v>1941</v>
      </c>
      <c r="G175" s="2079" t="s">
        <v>1848</v>
      </c>
      <c r="H175" s="2140">
        <f>SUM(H176:H197)</f>
        <v>19.728200000000001</v>
      </c>
      <c r="I175" s="2121">
        <f>'Don gia XD'!M432</f>
        <v>875779</v>
      </c>
      <c r="J175" s="2085"/>
      <c r="K175" s="2121">
        <f>'Don gia XD'!M438</f>
        <v>418155</v>
      </c>
      <c r="L175" s="2121">
        <f>'Don gia XD'!M440</f>
        <v>1736</v>
      </c>
      <c r="M175" s="2085">
        <f ca="1">'Don gia XD'!M452</f>
        <v>1750326.1484676001</v>
      </c>
      <c r="N175" s="2085">
        <f>H175*I175</f>
        <v>17277543.2678</v>
      </c>
      <c r="O175" s="2085">
        <f>H175*J175</f>
        <v>0</v>
      </c>
      <c r="P175" s="2085">
        <f>H175*K175</f>
        <v>8249445.4710000008</v>
      </c>
      <c r="Q175" s="2086">
        <f>H175*L175</f>
        <v>34248.155200000001</v>
      </c>
      <c r="R175" s="2076">
        <f ca="1">H175*M175</f>
        <v>34530784.32219851</v>
      </c>
      <c r="S175" s="2087"/>
      <c r="T175" s="2087"/>
      <c r="U175" s="2087"/>
      <c r="V175" s="2087"/>
      <c r="W175" s="2087"/>
      <c r="X175" s="2088"/>
      <c r="Y175" s="2088"/>
      <c r="Z175" s="2088"/>
      <c r="AA175" s="1956" t="s">
        <v>1830</v>
      </c>
    </row>
    <row r="176" spans="1:27">
      <c r="A176" s="1960"/>
      <c r="B176" s="1999"/>
      <c r="C176" s="2000"/>
      <c r="D176" s="2001"/>
      <c r="E176" s="2021" t="s">
        <v>1536</v>
      </c>
      <c r="F176" s="2003" t="s">
        <v>2034</v>
      </c>
      <c r="G176" s="2004"/>
      <c r="H176" s="2008"/>
      <c r="I176" s="2006"/>
      <c r="J176" s="2006"/>
      <c r="K176" s="2006"/>
      <c r="L176" s="2006"/>
      <c r="M176" s="2006"/>
      <c r="N176" s="2006"/>
      <c r="O176" s="2006"/>
      <c r="P176" s="2006"/>
      <c r="Q176" s="2007"/>
      <c r="R176" s="1967"/>
      <c r="S176" s="88"/>
      <c r="T176" s="88"/>
      <c r="U176" s="88"/>
      <c r="V176" s="88"/>
      <c r="W176" s="88"/>
      <c r="X176" s="89"/>
      <c r="Y176" s="89"/>
      <c r="Z176" s="89"/>
    </row>
    <row r="177" spans="1:26">
      <c r="A177" s="1960"/>
      <c r="B177" s="1999"/>
      <c r="C177" s="2000"/>
      <c r="D177" s="2001"/>
      <c r="E177" s="2021" t="s">
        <v>1536</v>
      </c>
      <c r="F177" s="2003" t="s">
        <v>1604</v>
      </c>
      <c r="G177" s="2004"/>
      <c r="H177" s="2005"/>
      <c r="I177" s="2006"/>
      <c r="J177" s="2006"/>
      <c r="K177" s="2006"/>
      <c r="L177" s="2006"/>
      <c r="M177" s="2006"/>
      <c r="N177" s="2006"/>
      <c r="O177" s="2006"/>
      <c r="P177" s="2006"/>
      <c r="Q177" s="2007"/>
      <c r="R177" s="1967"/>
      <c r="S177" s="88"/>
      <c r="T177" s="88"/>
      <c r="U177" s="88"/>
      <c r="V177" s="88"/>
      <c r="W177" s="88"/>
      <c r="X177" s="89"/>
      <c r="Y177" s="89"/>
      <c r="Z177" s="89"/>
    </row>
    <row r="178" spans="1:26" ht="31.5">
      <c r="A178" s="1960"/>
      <c r="B178" s="1999"/>
      <c r="C178" s="2000"/>
      <c r="D178" s="2001"/>
      <c r="E178" s="2021" t="s">
        <v>1536</v>
      </c>
      <c r="F178" s="2003" t="s">
        <v>1748</v>
      </c>
      <c r="G178" s="2004"/>
      <c r="H178" s="2008">
        <f>ROUND(kl(F178),Config!$C$104)</f>
        <v>4.2827999999999999</v>
      </c>
      <c r="I178" s="2006"/>
      <c r="J178" s="2006"/>
      <c r="K178" s="2006"/>
      <c r="L178" s="2006"/>
      <c r="M178" s="2006"/>
      <c r="N178" s="2006"/>
      <c r="O178" s="2006"/>
      <c r="P178" s="2006"/>
      <c r="Q178" s="2007"/>
      <c r="R178" s="1967"/>
      <c r="S178" s="88"/>
      <c r="T178" s="88"/>
      <c r="U178" s="88"/>
      <c r="V178" s="88"/>
      <c r="W178" s="88"/>
      <c r="X178" s="89"/>
      <c r="Y178" s="89"/>
      <c r="Z178" s="89"/>
    </row>
    <row r="179" spans="1:26" ht="31.5">
      <c r="A179" s="1960"/>
      <c r="B179" s="1999"/>
      <c r="C179" s="2000"/>
      <c r="D179" s="2001"/>
      <c r="E179" s="2021" t="s">
        <v>1536</v>
      </c>
      <c r="F179" s="2003" t="s">
        <v>1749</v>
      </c>
      <c r="G179" s="2004"/>
      <c r="H179" s="2008">
        <f>ROUND(kl(F179),Config!$C$104)</f>
        <v>5.3879000000000001</v>
      </c>
      <c r="I179" s="2006"/>
      <c r="J179" s="2006"/>
      <c r="K179" s="2006"/>
      <c r="L179" s="2006"/>
      <c r="M179" s="2006"/>
      <c r="N179" s="2006"/>
      <c r="O179" s="2006"/>
      <c r="P179" s="2006"/>
      <c r="Q179" s="2007"/>
      <c r="R179" s="1967"/>
      <c r="S179" s="88"/>
      <c r="T179" s="88"/>
      <c r="U179" s="88"/>
      <c r="V179" s="88"/>
      <c r="W179" s="88"/>
      <c r="X179" s="89"/>
      <c r="Y179" s="89"/>
      <c r="Z179" s="89"/>
    </row>
    <row r="180" spans="1:26">
      <c r="A180" s="1960"/>
      <c r="B180" s="1999"/>
      <c r="C180" s="2000"/>
      <c r="D180" s="2001"/>
      <c r="E180" s="2021" t="s">
        <v>1536</v>
      </c>
      <c r="F180" s="2003" t="s">
        <v>1750</v>
      </c>
      <c r="G180" s="2004"/>
      <c r="H180" s="2008">
        <f>ROUND(kl(F180),Config!$C$104)</f>
        <v>-0.58079999999999998</v>
      </c>
      <c r="I180" s="2006"/>
      <c r="J180" s="2006"/>
      <c r="K180" s="2006"/>
      <c r="L180" s="2006"/>
      <c r="M180" s="2006"/>
      <c r="N180" s="2006"/>
      <c r="O180" s="2006"/>
      <c r="P180" s="2006"/>
      <c r="Q180" s="2007"/>
      <c r="R180" s="1967"/>
      <c r="S180" s="88"/>
      <c r="T180" s="88"/>
      <c r="U180" s="88"/>
      <c r="V180" s="88"/>
      <c r="W180" s="88"/>
      <c r="X180" s="89"/>
      <c r="Y180" s="89"/>
      <c r="Z180" s="89"/>
    </row>
    <row r="181" spans="1:26">
      <c r="A181" s="1960"/>
      <c r="B181" s="1999"/>
      <c r="C181" s="2000"/>
      <c r="D181" s="2001"/>
      <c r="E181" s="2021" t="s">
        <v>1536</v>
      </c>
      <c r="F181" s="2003" t="s">
        <v>1751</v>
      </c>
      <c r="G181" s="2004"/>
      <c r="H181" s="2008">
        <f>ROUND(kl(F181),Config!$C$104)</f>
        <v>-0.1069</v>
      </c>
      <c r="I181" s="2006"/>
      <c r="J181" s="2006"/>
      <c r="K181" s="2006"/>
      <c r="L181" s="2006"/>
      <c r="M181" s="2006"/>
      <c r="N181" s="2006"/>
      <c r="O181" s="2006"/>
      <c r="P181" s="2006"/>
      <c r="Q181" s="2007"/>
      <c r="R181" s="1967"/>
      <c r="S181" s="88"/>
      <c r="T181" s="88"/>
      <c r="U181" s="88"/>
      <c r="V181" s="88"/>
      <c r="W181" s="88"/>
      <c r="X181" s="89"/>
      <c r="Y181" s="89"/>
      <c r="Z181" s="89"/>
    </row>
    <row r="182" spans="1:26">
      <c r="A182" s="1960"/>
      <c r="B182" s="1999"/>
      <c r="C182" s="2000"/>
      <c r="D182" s="2001"/>
      <c r="E182" s="2021" t="s">
        <v>1536</v>
      </c>
      <c r="F182" s="2003" t="s">
        <v>1752</v>
      </c>
      <c r="G182" s="2004"/>
      <c r="H182" s="2008">
        <f>ROUND(kl(F182),Config!$C$104)</f>
        <v>-5.2400000000000002E-2</v>
      </c>
      <c r="I182" s="2006"/>
      <c r="J182" s="2006"/>
      <c r="K182" s="2006"/>
      <c r="L182" s="2006"/>
      <c r="M182" s="2006"/>
      <c r="N182" s="2006"/>
      <c r="O182" s="2006"/>
      <c r="P182" s="2006"/>
      <c r="Q182" s="2007"/>
      <c r="R182" s="1967"/>
      <c r="S182" s="88"/>
      <c r="T182" s="88"/>
      <c r="U182" s="88"/>
      <c r="V182" s="88"/>
      <c r="W182" s="88"/>
      <c r="X182" s="89"/>
      <c r="Y182" s="89"/>
      <c r="Z182" s="89"/>
    </row>
    <row r="183" spans="1:26">
      <c r="A183" s="1960"/>
      <c r="B183" s="1999"/>
      <c r="C183" s="2000"/>
      <c r="D183" s="2001"/>
      <c r="E183" s="2021" t="s">
        <v>1536</v>
      </c>
      <c r="F183" s="2003" t="s">
        <v>1753</v>
      </c>
      <c r="G183" s="2004"/>
      <c r="H183" s="2008">
        <f>ROUND(kl(F183),Config!$C$104)</f>
        <v>-0.36959999999999998</v>
      </c>
      <c r="I183" s="2006"/>
      <c r="J183" s="2006"/>
      <c r="K183" s="2006"/>
      <c r="L183" s="2006"/>
      <c r="M183" s="2006"/>
      <c r="N183" s="2006"/>
      <c r="O183" s="2006"/>
      <c r="P183" s="2006"/>
      <c r="Q183" s="2007"/>
      <c r="R183" s="1967"/>
      <c r="S183" s="88"/>
      <c r="T183" s="88"/>
      <c r="U183" s="88"/>
      <c r="V183" s="88"/>
      <c r="W183" s="88"/>
      <c r="X183" s="89"/>
      <c r="Y183" s="89"/>
      <c r="Z183" s="89"/>
    </row>
    <row r="184" spans="1:26">
      <c r="A184" s="1960"/>
      <c r="B184" s="1999"/>
      <c r="C184" s="2000"/>
      <c r="D184" s="2001"/>
      <c r="E184" s="2021" t="s">
        <v>1536</v>
      </c>
      <c r="F184" s="2003" t="s">
        <v>1751</v>
      </c>
      <c r="G184" s="2004"/>
      <c r="H184" s="2008">
        <f>ROUND(kl(F184),Config!$C$104)</f>
        <v>-0.1069</v>
      </c>
      <c r="I184" s="2006"/>
      <c r="J184" s="2006"/>
      <c r="K184" s="2006"/>
      <c r="L184" s="2006"/>
      <c r="M184" s="2006"/>
      <c r="N184" s="2006"/>
      <c r="O184" s="2006"/>
      <c r="P184" s="2006"/>
      <c r="Q184" s="2007"/>
      <c r="R184" s="1967"/>
      <c r="S184" s="88"/>
      <c r="T184" s="88"/>
      <c r="U184" s="88"/>
      <c r="V184" s="88"/>
      <c r="W184" s="88"/>
      <c r="X184" s="89"/>
      <c r="Y184" s="89"/>
      <c r="Z184" s="89"/>
    </row>
    <row r="185" spans="1:26">
      <c r="A185" s="1960"/>
      <c r="B185" s="1999"/>
      <c r="C185" s="2000"/>
      <c r="D185" s="2001"/>
      <c r="E185" s="2021" t="s">
        <v>1536</v>
      </c>
      <c r="F185" s="2003" t="s">
        <v>1754</v>
      </c>
      <c r="G185" s="2004"/>
      <c r="H185" s="2008">
        <f>ROUND(kl(F185),Config!$C$104)</f>
        <v>-5.6099999999999997E-2</v>
      </c>
      <c r="I185" s="2006"/>
      <c r="J185" s="2006"/>
      <c r="K185" s="2006"/>
      <c r="L185" s="2006"/>
      <c r="M185" s="2006"/>
      <c r="N185" s="2006"/>
      <c r="O185" s="2006"/>
      <c r="P185" s="2006"/>
      <c r="Q185" s="2007"/>
      <c r="R185" s="1967"/>
      <c r="S185" s="88"/>
      <c r="T185" s="88"/>
      <c r="U185" s="88"/>
      <c r="V185" s="88"/>
      <c r="W185" s="88"/>
      <c r="X185" s="89"/>
      <c r="Y185" s="89"/>
      <c r="Z185" s="89"/>
    </row>
    <row r="186" spans="1:26">
      <c r="A186" s="1960"/>
      <c r="B186" s="1999"/>
      <c r="C186" s="2000"/>
      <c r="D186" s="2001"/>
      <c r="E186" s="2021" t="s">
        <v>1536</v>
      </c>
      <c r="F186" s="2003" t="s">
        <v>1755</v>
      </c>
      <c r="G186" s="2004"/>
      <c r="H186" s="2008">
        <f>ROUND(kl(F186),Config!$C$104)</f>
        <v>-2.6200000000000001E-2</v>
      </c>
      <c r="I186" s="2006"/>
      <c r="J186" s="2006"/>
      <c r="K186" s="2006"/>
      <c r="L186" s="2006"/>
      <c r="M186" s="2006"/>
      <c r="N186" s="2006"/>
      <c r="O186" s="2006"/>
      <c r="P186" s="2006"/>
      <c r="Q186" s="2007"/>
      <c r="R186" s="1967"/>
      <c r="S186" s="88"/>
      <c r="T186" s="88"/>
      <c r="U186" s="88"/>
      <c r="V186" s="88"/>
      <c r="W186" s="88"/>
      <c r="X186" s="89"/>
      <c r="Y186" s="89"/>
      <c r="Z186" s="89"/>
    </row>
    <row r="187" spans="1:26" ht="31.5">
      <c r="A187" s="1960"/>
      <c r="B187" s="1999"/>
      <c r="C187" s="2000"/>
      <c r="D187" s="2001"/>
      <c r="E187" s="2021" t="s">
        <v>1536</v>
      </c>
      <c r="F187" s="2003" t="s">
        <v>2115</v>
      </c>
      <c r="G187" s="2004"/>
      <c r="H187" s="2320">
        <f>ROUND(kl(F187),Config!$C$104)</f>
        <v>5.3879000000000001</v>
      </c>
      <c r="I187" s="2006"/>
      <c r="J187" s="2006"/>
      <c r="K187" s="2006"/>
      <c r="L187" s="2006"/>
      <c r="M187" s="2006"/>
      <c r="N187" s="2006"/>
      <c r="O187" s="2006"/>
      <c r="P187" s="2006"/>
      <c r="Q187" s="2007"/>
      <c r="R187" s="1967"/>
      <c r="S187" s="88"/>
      <c r="T187" s="88"/>
      <c r="U187" s="88"/>
      <c r="V187" s="88"/>
      <c r="W187" s="88"/>
      <c r="X187" s="89"/>
      <c r="Y187" s="89"/>
      <c r="Z187" s="89"/>
    </row>
    <row r="188" spans="1:26">
      <c r="A188" s="1960"/>
      <c r="B188" s="1999"/>
      <c r="C188" s="2000"/>
      <c r="D188" s="2001"/>
      <c r="E188" s="2021" t="s">
        <v>1536</v>
      </c>
      <c r="F188" s="2003" t="s">
        <v>1756</v>
      </c>
      <c r="G188" s="2004"/>
      <c r="H188" s="2008">
        <f>ROUND(kl(F188),Config!$C$104)</f>
        <v>-0.73919999999999997</v>
      </c>
      <c r="I188" s="2006"/>
      <c r="J188" s="2006"/>
      <c r="K188" s="2006"/>
      <c r="L188" s="2006"/>
      <c r="M188" s="2006"/>
      <c r="N188" s="2006"/>
      <c r="O188" s="2006"/>
      <c r="P188" s="2006"/>
      <c r="Q188" s="2007"/>
      <c r="R188" s="1967"/>
      <c r="S188" s="88"/>
      <c r="T188" s="88"/>
      <c r="U188" s="88"/>
      <c r="V188" s="88"/>
      <c r="W188" s="88"/>
      <c r="X188" s="89"/>
      <c r="Y188" s="89"/>
      <c r="Z188" s="89"/>
    </row>
    <row r="189" spans="1:26">
      <c r="A189" s="1960"/>
      <c r="B189" s="1999"/>
      <c r="C189" s="2000"/>
      <c r="D189" s="2001"/>
      <c r="E189" s="2021" t="s">
        <v>1536</v>
      </c>
      <c r="F189" s="2003" t="s">
        <v>1757</v>
      </c>
      <c r="G189" s="2004"/>
      <c r="H189" s="2008">
        <f>ROUND(kl(F189),Config!$C$104)</f>
        <v>-0.21379999999999999</v>
      </c>
      <c r="I189" s="2006"/>
      <c r="J189" s="2006"/>
      <c r="K189" s="2006"/>
      <c r="L189" s="2006"/>
      <c r="M189" s="2006"/>
      <c r="N189" s="2006"/>
      <c r="O189" s="2006"/>
      <c r="P189" s="2006"/>
      <c r="Q189" s="2007"/>
      <c r="R189" s="1967"/>
      <c r="S189" s="88"/>
      <c r="T189" s="88"/>
      <c r="U189" s="88"/>
      <c r="V189" s="88"/>
      <c r="W189" s="88"/>
      <c r="X189" s="89"/>
      <c r="Y189" s="89"/>
      <c r="Z189" s="89"/>
    </row>
    <row r="190" spans="1:26">
      <c r="A190" s="1960"/>
      <c r="B190" s="1999"/>
      <c r="C190" s="2000"/>
      <c r="D190" s="2001"/>
      <c r="E190" s="2021" t="s">
        <v>1536</v>
      </c>
      <c r="F190" s="2003" t="s">
        <v>1758</v>
      </c>
      <c r="G190" s="2004"/>
      <c r="H190" s="2008">
        <f>ROUND(kl(F190),Config!$C$104)</f>
        <v>-0.11219999999999999</v>
      </c>
      <c r="I190" s="2006"/>
      <c r="J190" s="2006"/>
      <c r="K190" s="2006"/>
      <c r="L190" s="2006"/>
      <c r="M190" s="2006"/>
      <c r="N190" s="2006"/>
      <c r="O190" s="2006"/>
      <c r="P190" s="2006"/>
      <c r="Q190" s="2007"/>
      <c r="R190" s="1967"/>
      <c r="S190" s="88"/>
      <c r="T190" s="88"/>
      <c r="U190" s="88"/>
      <c r="V190" s="88"/>
      <c r="W190" s="88"/>
      <c r="X190" s="89"/>
      <c r="Y190" s="89"/>
      <c r="Z190" s="89"/>
    </row>
    <row r="191" spans="1:26">
      <c r="A191" s="1960"/>
      <c r="B191" s="1999"/>
      <c r="C191" s="2000"/>
      <c r="D191" s="2001"/>
      <c r="E191" s="2021" t="s">
        <v>1536</v>
      </c>
      <c r="F191" s="2003" t="s">
        <v>1759</v>
      </c>
      <c r="G191" s="2004"/>
      <c r="H191" s="2008">
        <f>ROUND(kl(F191),Config!$C$104)</f>
        <v>-5.2400000000000002E-2</v>
      </c>
      <c r="I191" s="2006"/>
      <c r="J191" s="2006"/>
      <c r="K191" s="2006"/>
      <c r="L191" s="2006"/>
      <c r="M191" s="2006"/>
      <c r="N191" s="2006"/>
      <c r="O191" s="2006"/>
      <c r="P191" s="2006"/>
      <c r="Q191" s="2007"/>
      <c r="R191" s="1967"/>
      <c r="S191" s="88"/>
      <c r="T191" s="88"/>
      <c r="U191" s="88"/>
      <c r="V191" s="88"/>
      <c r="W191" s="88"/>
      <c r="X191" s="89"/>
      <c r="Y191" s="89"/>
      <c r="Z191" s="89"/>
    </row>
    <row r="192" spans="1:26">
      <c r="A192" s="1960"/>
      <c r="B192" s="1999"/>
      <c r="C192" s="2000"/>
      <c r="D192" s="2001"/>
      <c r="E192" s="2021" t="s">
        <v>1536</v>
      </c>
      <c r="F192" s="2003" t="s">
        <v>1605</v>
      </c>
      <c r="G192" s="2004"/>
      <c r="H192" s="2005"/>
      <c r="I192" s="2006"/>
      <c r="J192" s="2006"/>
      <c r="K192" s="2006"/>
      <c r="L192" s="2006"/>
      <c r="M192" s="2006"/>
      <c r="N192" s="2006"/>
      <c r="O192" s="2006"/>
      <c r="P192" s="2006"/>
      <c r="Q192" s="2007"/>
      <c r="R192" s="1967"/>
      <c r="S192" s="88"/>
      <c r="T192" s="88"/>
      <c r="U192" s="88"/>
      <c r="V192" s="88"/>
      <c r="W192" s="88"/>
      <c r="X192" s="89"/>
      <c r="Y192" s="89"/>
      <c r="Z192" s="89"/>
    </row>
    <row r="193" spans="1:27" ht="31.5">
      <c r="A193" s="1960"/>
      <c r="B193" s="1999"/>
      <c r="C193" s="2000"/>
      <c r="D193" s="2001"/>
      <c r="E193" s="2021" t="s">
        <v>1536</v>
      </c>
      <c r="F193" s="2003" t="s">
        <v>1760</v>
      </c>
      <c r="G193" s="2004"/>
      <c r="H193" s="2008">
        <f>ROUND(kl(F193),Config!$C$104)</f>
        <v>4.2827999999999999</v>
      </c>
      <c r="I193" s="2006"/>
      <c r="J193" s="2006"/>
      <c r="K193" s="2006"/>
      <c r="L193" s="2006"/>
      <c r="M193" s="2006"/>
      <c r="N193" s="2006"/>
      <c r="O193" s="2006"/>
      <c r="P193" s="2006"/>
      <c r="Q193" s="2007"/>
      <c r="R193" s="1967"/>
      <c r="S193" s="88"/>
      <c r="T193" s="88"/>
      <c r="U193" s="88"/>
      <c r="V193" s="88"/>
      <c r="W193" s="88"/>
      <c r="X193" s="89"/>
      <c r="Y193" s="89"/>
      <c r="Z193" s="89"/>
    </row>
    <row r="194" spans="1:27">
      <c r="A194" s="1960"/>
      <c r="B194" s="1999"/>
      <c r="C194" s="2000"/>
      <c r="D194" s="2001"/>
      <c r="E194" s="2021" t="s">
        <v>1536</v>
      </c>
      <c r="F194" s="2003" t="s">
        <v>1761</v>
      </c>
      <c r="G194" s="2004"/>
      <c r="H194" s="2008">
        <f>ROUND(kl(F194),Config!$C$104)</f>
        <v>-0.33879999999999999</v>
      </c>
      <c r="I194" s="2006"/>
      <c r="J194" s="2006"/>
      <c r="K194" s="2006"/>
      <c r="L194" s="2006"/>
      <c r="M194" s="2006"/>
      <c r="N194" s="2006"/>
      <c r="O194" s="2006"/>
      <c r="P194" s="2006"/>
      <c r="Q194" s="2007"/>
      <c r="R194" s="1967"/>
      <c r="S194" s="88"/>
      <c r="T194" s="88"/>
      <c r="U194" s="88"/>
      <c r="V194" s="88"/>
      <c r="W194" s="88"/>
      <c r="X194" s="89"/>
      <c r="Y194" s="89"/>
      <c r="Z194" s="89"/>
    </row>
    <row r="195" spans="1:27" ht="31.5">
      <c r="A195" s="1960"/>
      <c r="B195" s="1999"/>
      <c r="C195" s="2000"/>
      <c r="D195" s="2001"/>
      <c r="E195" s="2021" t="s">
        <v>1536</v>
      </c>
      <c r="F195" s="2003" t="s">
        <v>1762</v>
      </c>
      <c r="G195" s="2004"/>
      <c r="H195" s="2008">
        <f>ROUND(kl(F195),Config!$C$104)</f>
        <v>-2.1600000000000001E-2</v>
      </c>
      <c r="I195" s="2006"/>
      <c r="J195" s="2006"/>
      <c r="K195" s="2006"/>
      <c r="L195" s="2006"/>
      <c r="M195" s="2006"/>
      <c r="N195" s="2006"/>
      <c r="O195" s="2006"/>
      <c r="P195" s="2006"/>
      <c r="Q195" s="2007"/>
      <c r="R195" s="1967"/>
      <c r="S195" s="88"/>
      <c r="T195" s="88"/>
      <c r="U195" s="88"/>
      <c r="V195" s="88"/>
      <c r="W195" s="88"/>
      <c r="X195" s="89"/>
      <c r="Y195" s="89"/>
      <c r="Z195" s="89"/>
    </row>
    <row r="196" spans="1:27">
      <c r="A196" s="1960"/>
      <c r="B196" s="1999"/>
      <c r="C196" s="2000"/>
      <c r="D196" s="2001"/>
      <c r="E196" s="2021" t="s">
        <v>1536</v>
      </c>
      <c r="F196" s="2003" t="s">
        <v>1606</v>
      </c>
      <c r="G196" s="2004"/>
      <c r="H196" s="2005"/>
      <c r="I196" s="2006"/>
      <c r="J196" s="2006"/>
      <c r="K196" s="2006"/>
      <c r="L196" s="2006"/>
      <c r="M196" s="2006"/>
      <c r="N196" s="2006"/>
      <c r="O196" s="2006"/>
      <c r="P196" s="2006"/>
      <c r="Q196" s="2007"/>
      <c r="R196" s="1967"/>
      <c r="S196" s="88"/>
      <c r="T196" s="88"/>
      <c r="U196" s="88"/>
      <c r="V196" s="88"/>
      <c r="W196" s="88"/>
      <c r="X196" s="89"/>
      <c r="Y196" s="89"/>
      <c r="Z196" s="89"/>
    </row>
    <row r="197" spans="1:27" ht="31.5">
      <c r="A197" s="1960"/>
      <c r="B197" s="1999"/>
      <c r="C197" s="2000"/>
      <c r="D197" s="2001"/>
      <c r="E197" s="2021" t="s">
        <v>1536</v>
      </c>
      <c r="F197" s="2003" t="s">
        <v>1763</v>
      </c>
      <c r="G197" s="2004"/>
      <c r="H197" s="2008">
        <f>ROUND(kl(F197),Config!$C$104)</f>
        <v>3.1637</v>
      </c>
      <c r="I197" s="2006"/>
      <c r="J197" s="2006"/>
      <c r="K197" s="2006"/>
      <c r="L197" s="2006"/>
      <c r="M197" s="2006"/>
      <c r="N197" s="2006"/>
      <c r="O197" s="2006"/>
      <c r="P197" s="2006"/>
      <c r="Q197" s="2007"/>
      <c r="R197" s="1967"/>
      <c r="S197" s="88"/>
      <c r="T197" s="88"/>
      <c r="U197" s="88"/>
      <c r="V197" s="88"/>
      <c r="W197" s="88"/>
      <c r="X197" s="89"/>
      <c r="Y197" s="89"/>
      <c r="Z197" s="89"/>
    </row>
    <row r="198" spans="1:27" ht="47.25">
      <c r="A198" s="2080">
        <v>83</v>
      </c>
      <c r="B198" s="2081">
        <v>3</v>
      </c>
      <c r="C198" s="2078" t="s">
        <v>1932</v>
      </c>
      <c r="D198" s="2082" t="s">
        <v>1942</v>
      </c>
      <c r="E198" s="2083" t="s">
        <v>1558</v>
      </c>
      <c r="F198" s="2089" t="s">
        <v>1943</v>
      </c>
      <c r="G198" s="2079" t="s">
        <v>1848</v>
      </c>
      <c r="H198" s="2088">
        <f>SUM(H199:H204)</f>
        <v>2.4056999999999999</v>
      </c>
      <c r="I198" s="2121">
        <f>'Don gia XD'!M454</f>
        <v>834076</v>
      </c>
      <c r="J198" s="2085"/>
      <c r="K198" s="2121">
        <f>'Don gia XD'!M459</f>
        <v>365600</v>
      </c>
      <c r="L198" s="2121">
        <f>'Don gia XD'!M461</f>
        <v>1736</v>
      </c>
      <c r="M198" s="2085">
        <f ca="1">'Don gia XD'!M473</f>
        <v>1622992.6128433601</v>
      </c>
      <c r="N198" s="2085">
        <f>H198*I198</f>
        <v>2006536.6332</v>
      </c>
      <c r="O198" s="2085">
        <f>H198*J198</f>
        <v>0</v>
      </c>
      <c r="P198" s="2085">
        <f>H198*K198</f>
        <v>879523.91999999993</v>
      </c>
      <c r="Q198" s="2086">
        <f>H198*L198</f>
        <v>4176.2951999999996</v>
      </c>
      <c r="R198" s="2076">
        <f ca="1">H198*M198</f>
        <v>3904433.3287172713</v>
      </c>
      <c r="S198" s="2087"/>
      <c r="T198" s="2087"/>
      <c r="U198" s="2087"/>
      <c r="V198" s="2087"/>
      <c r="W198" s="2087"/>
      <c r="X198" s="2088"/>
      <c r="Y198" s="2088"/>
      <c r="Z198" s="2088"/>
      <c r="AA198" s="1956" t="s">
        <v>1830</v>
      </c>
    </row>
    <row r="199" spans="1:27">
      <c r="A199" s="1960"/>
      <c r="B199" s="1999"/>
      <c r="C199" s="2000"/>
      <c r="D199" s="2001"/>
      <c r="E199" s="2021" t="s">
        <v>1536</v>
      </c>
      <c r="F199" s="2003" t="s">
        <v>1607</v>
      </c>
      <c r="G199" s="2004"/>
      <c r="H199" s="2005"/>
      <c r="I199" s="2006"/>
      <c r="J199" s="2006"/>
      <c r="K199" s="2006"/>
      <c r="L199" s="2006"/>
      <c r="M199" s="2006"/>
      <c r="N199" s="2006"/>
      <c r="O199" s="2006"/>
      <c r="P199" s="2006"/>
      <c r="Q199" s="2007"/>
      <c r="R199" s="1967"/>
      <c r="S199" s="88"/>
      <c r="T199" s="88"/>
      <c r="U199" s="88"/>
      <c r="V199" s="88"/>
      <c r="W199" s="88"/>
      <c r="X199" s="89"/>
      <c r="Y199" s="89"/>
      <c r="Z199" s="89"/>
    </row>
    <row r="200" spans="1:27">
      <c r="A200" s="1960"/>
      <c r="B200" s="1999"/>
      <c r="C200" s="2000"/>
      <c r="D200" s="2001"/>
      <c r="E200" s="2021" t="s">
        <v>1536</v>
      </c>
      <c r="F200" s="2003" t="s">
        <v>1764</v>
      </c>
      <c r="G200" s="2004"/>
      <c r="H200" s="2008">
        <f>ROUND(kl(F200),Config!$C$104)</f>
        <v>1.2078</v>
      </c>
      <c r="I200" s="2006"/>
      <c r="J200" s="2006"/>
      <c r="K200" s="2006"/>
      <c r="L200" s="2006"/>
      <c r="M200" s="2006"/>
      <c r="N200" s="2006"/>
      <c r="O200" s="2006"/>
      <c r="P200" s="2006"/>
      <c r="Q200" s="2007"/>
      <c r="R200" s="1967"/>
      <c r="S200" s="88"/>
      <c r="T200" s="88"/>
      <c r="U200" s="88"/>
      <c r="V200" s="88"/>
      <c r="W200" s="88"/>
      <c r="X200" s="89"/>
      <c r="Y200" s="89"/>
      <c r="Z200" s="89"/>
    </row>
    <row r="201" spans="1:27">
      <c r="A201" s="1960"/>
      <c r="B201" s="1999"/>
      <c r="C201" s="2000"/>
      <c r="D201" s="2001"/>
      <c r="E201" s="2021" t="s">
        <v>1536</v>
      </c>
      <c r="F201" s="2003" t="s">
        <v>1765</v>
      </c>
      <c r="G201" s="2004"/>
      <c r="H201" s="2008">
        <f>ROUND(kl(F201),Config!$C$104)</f>
        <v>0.60389999999999999</v>
      </c>
      <c r="I201" s="2006"/>
      <c r="J201" s="2006"/>
      <c r="K201" s="2006"/>
      <c r="L201" s="2006"/>
      <c r="M201" s="2006"/>
      <c r="N201" s="2006"/>
      <c r="O201" s="2006"/>
      <c r="P201" s="2006"/>
      <c r="Q201" s="2007"/>
      <c r="R201" s="1967"/>
      <c r="S201" s="88"/>
      <c r="T201" s="88"/>
      <c r="U201" s="88"/>
      <c r="V201" s="88"/>
      <c r="W201" s="88"/>
      <c r="X201" s="89"/>
      <c r="Y201" s="89"/>
      <c r="Z201" s="89"/>
    </row>
    <row r="202" spans="1:27">
      <c r="A202" s="1960"/>
      <c r="B202" s="1999"/>
      <c r="C202" s="2000"/>
      <c r="D202" s="2001"/>
      <c r="E202" s="2021" t="s">
        <v>1536</v>
      </c>
      <c r="F202" s="2003" t="s">
        <v>2035</v>
      </c>
      <c r="G202" s="2004"/>
      <c r="H202" s="2008">
        <f>ROUND(kl(F202),Config!$C$104)</f>
        <v>0</v>
      </c>
      <c r="I202" s="2006"/>
      <c r="J202" s="2006"/>
      <c r="K202" s="2006"/>
      <c r="L202" s="2006"/>
      <c r="M202" s="2006"/>
      <c r="N202" s="2006"/>
      <c r="O202" s="2006"/>
      <c r="P202" s="2006"/>
      <c r="Q202" s="2007"/>
      <c r="R202" s="1967"/>
      <c r="S202" s="88"/>
      <c r="T202" s="88"/>
      <c r="U202" s="88"/>
      <c r="V202" s="88"/>
      <c r="W202" s="88"/>
      <c r="X202" s="89"/>
      <c r="Y202" s="89"/>
      <c r="Z202" s="89"/>
    </row>
    <row r="203" spans="1:27">
      <c r="A203" s="1960"/>
      <c r="B203" s="1999"/>
      <c r="C203" s="2000"/>
      <c r="D203" s="2001"/>
      <c r="E203" s="2021" t="s">
        <v>1536</v>
      </c>
      <c r="F203" s="2003" t="s">
        <v>1766</v>
      </c>
      <c r="G203" s="2004"/>
      <c r="H203" s="2008">
        <f>ROUND(kl(F203),Config!$C$104)</f>
        <v>0.432</v>
      </c>
      <c r="I203" s="2006"/>
      <c r="J203" s="2006"/>
      <c r="K203" s="2006"/>
      <c r="L203" s="2006"/>
      <c r="M203" s="2006"/>
      <c r="N203" s="2006"/>
      <c r="O203" s="2006"/>
      <c r="P203" s="2006"/>
      <c r="Q203" s="2007"/>
      <c r="R203" s="1967"/>
      <c r="S203" s="88"/>
      <c r="T203" s="88"/>
      <c r="U203" s="88"/>
      <c r="V203" s="88"/>
      <c r="W203" s="88"/>
      <c r="X203" s="89"/>
      <c r="Y203" s="89"/>
      <c r="Z203" s="89"/>
    </row>
    <row r="204" spans="1:27">
      <c r="A204" s="1960"/>
      <c r="B204" s="1999"/>
      <c r="C204" s="2000"/>
      <c r="D204" s="2001"/>
      <c r="E204" s="2021" t="s">
        <v>1536</v>
      </c>
      <c r="F204" s="2003" t="s">
        <v>1767</v>
      </c>
      <c r="G204" s="2004"/>
      <c r="H204" s="2008">
        <f>ROUND(kl(F204),Config!$C$104)</f>
        <v>0.16200000000000001</v>
      </c>
      <c r="I204" s="2006"/>
      <c r="J204" s="2006"/>
      <c r="K204" s="2006"/>
      <c r="L204" s="2006"/>
      <c r="M204" s="2006"/>
      <c r="N204" s="2006"/>
      <c r="O204" s="2006"/>
      <c r="P204" s="2006"/>
      <c r="Q204" s="2007"/>
      <c r="R204" s="1967"/>
      <c r="S204" s="88"/>
      <c r="T204" s="88"/>
      <c r="U204" s="88"/>
      <c r="V204" s="88"/>
      <c r="W204" s="88"/>
      <c r="X204" s="89"/>
      <c r="Y204" s="89"/>
      <c r="Z204" s="89"/>
    </row>
    <row r="205" spans="1:27">
      <c r="A205" s="1960"/>
      <c r="B205" s="1999"/>
      <c r="C205" s="2000"/>
      <c r="D205" s="2001"/>
      <c r="E205" s="2021"/>
      <c r="F205" s="2009"/>
      <c r="G205" s="2004"/>
      <c r="H205" s="2005"/>
      <c r="I205" s="2006"/>
      <c r="J205" s="2006"/>
      <c r="K205" s="2006"/>
      <c r="L205" s="2006"/>
      <c r="M205" s="2006"/>
      <c r="N205" s="2006"/>
      <c r="O205" s="2006"/>
      <c r="P205" s="2006"/>
      <c r="Q205" s="2007"/>
      <c r="R205" s="1967"/>
      <c r="S205" s="88"/>
      <c r="T205" s="88"/>
      <c r="U205" s="88"/>
      <c r="V205" s="88"/>
      <c r="W205" s="88"/>
      <c r="X205" s="89"/>
      <c r="Y205" s="89"/>
      <c r="Z205" s="89"/>
    </row>
    <row r="206" spans="1:27">
      <c r="A206" s="1961"/>
      <c r="B206" s="1996"/>
      <c r="C206" s="2010"/>
      <c r="D206" s="2011"/>
      <c r="E206" s="2022" t="s">
        <v>304</v>
      </c>
      <c r="F206" s="1978" t="str">
        <f xml:space="preserve"> "Cộng: "&amp;F172</f>
        <v>Cộng: CÔNG TÁC XÂY</v>
      </c>
      <c r="G206" s="1918"/>
      <c r="H206" s="1919"/>
      <c r="I206" s="1920"/>
      <c r="J206" s="1920"/>
      <c r="K206" s="1920"/>
      <c r="L206" s="1942"/>
      <c r="M206" s="1938"/>
      <c r="N206" s="1938">
        <f>SUM(N172:N205)</f>
        <v>36884280.764600001</v>
      </c>
      <c r="O206" s="1938">
        <f>SUM(O172:O205)</f>
        <v>0</v>
      </c>
      <c r="P206" s="1938">
        <f>SUM(P172:P205)</f>
        <v>26093942.751000002</v>
      </c>
      <c r="Q206" s="1972">
        <f>SUM(Q172:Q205)</f>
        <v>75216.952799999999</v>
      </c>
      <c r="R206" s="1968">
        <f ca="1">SUM(R172:R205)</f>
        <v>85179162.597486779</v>
      </c>
      <c r="S206" s="1939"/>
      <c r="T206" s="1939"/>
      <c r="U206" s="1939"/>
      <c r="V206" s="1939"/>
      <c r="W206" s="1939"/>
      <c r="X206" s="1940"/>
      <c r="Y206" s="1940"/>
      <c r="Z206" s="1941"/>
    </row>
    <row r="207" spans="1:27">
      <c r="A207" s="1961" t="s">
        <v>1640</v>
      </c>
      <c r="B207" s="1996"/>
      <c r="C207" s="1997"/>
      <c r="D207" s="1998"/>
      <c r="E207" s="2023" t="s">
        <v>1633</v>
      </c>
      <c r="F207" s="1978" t="s">
        <v>1608</v>
      </c>
      <c r="G207" s="1918"/>
      <c r="H207" s="1919"/>
      <c r="I207" s="1920"/>
      <c r="J207" s="1920"/>
      <c r="K207" s="1920"/>
      <c r="L207" s="1920"/>
      <c r="M207" s="1920"/>
      <c r="N207" s="1920"/>
      <c r="O207" s="1920"/>
      <c r="P207" s="1920"/>
      <c r="Q207" s="1971"/>
      <c r="R207" s="1921"/>
      <c r="S207" s="1922"/>
      <c r="T207" s="1922"/>
      <c r="U207" s="1922"/>
      <c r="V207" s="1922"/>
      <c r="W207" s="1922"/>
      <c r="X207" s="1923"/>
      <c r="Y207" s="1923"/>
      <c r="Z207" s="1924"/>
    </row>
    <row r="208" spans="1:27">
      <c r="A208" s="2029">
        <v>84</v>
      </c>
      <c r="B208" s="2034">
        <v>1</v>
      </c>
      <c r="C208" s="2035" t="s">
        <v>1536</v>
      </c>
      <c r="D208" s="2036" t="s">
        <v>1559</v>
      </c>
      <c r="E208" s="2033" t="s">
        <v>1559</v>
      </c>
      <c r="F208" s="2040" t="s">
        <v>1609</v>
      </c>
      <c r="G208" s="2037" t="s">
        <v>1884</v>
      </c>
      <c r="H208" s="2077">
        <f>SUM(H209:H209)</f>
        <v>0.2356</v>
      </c>
      <c r="I208" s="2072">
        <f>'Don gia XD'!M476</f>
        <v>21809970</v>
      </c>
      <c r="J208" s="2038"/>
      <c r="K208" s="2072">
        <f>'Don gia XD'!M481</f>
        <v>1394000</v>
      </c>
      <c r="L208" s="2038"/>
      <c r="M208" s="2038">
        <f ca="1">'Don gia XD'!M493</f>
        <v>31346342.385991603</v>
      </c>
      <c r="N208" s="2038">
        <f>H208*I208</f>
        <v>5138428.932</v>
      </c>
      <c r="O208" s="2038">
        <f>H208*J208</f>
        <v>0</v>
      </c>
      <c r="P208" s="2038">
        <f>H208*K208</f>
        <v>328426.40000000002</v>
      </c>
      <c r="Q208" s="2039">
        <f>H208*L208</f>
        <v>0</v>
      </c>
      <c r="R208" s="2030">
        <f ca="1">H208*M208</f>
        <v>7385198.2661396218</v>
      </c>
      <c r="S208" s="2031"/>
      <c r="T208" s="2031"/>
      <c r="U208" s="2031"/>
      <c r="V208" s="2031"/>
      <c r="W208" s="2031"/>
      <c r="X208" s="2032"/>
      <c r="Y208" s="2032"/>
      <c r="Z208" s="2032"/>
      <c r="AA208" s="79" t="s">
        <v>1830</v>
      </c>
    </row>
    <row r="209" spans="1:27">
      <c r="A209" s="1960"/>
      <c r="B209" s="1999"/>
      <c r="C209" s="2000"/>
      <c r="D209" s="2001"/>
      <c r="E209" s="2021" t="s">
        <v>1536</v>
      </c>
      <c r="F209" s="2003" t="s">
        <v>1768</v>
      </c>
      <c r="G209" s="2004"/>
      <c r="H209" s="2008">
        <f>ROUND(kl(F209),Config!$C$104)</f>
        <v>0.2356</v>
      </c>
      <c r="I209" s="2006"/>
      <c r="J209" s="2006"/>
      <c r="K209" s="2006"/>
      <c r="L209" s="2006"/>
      <c r="M209" s="2006"/>
      <c r="N209" s="2006"/>
      <c r="O209" s="2006"/>
      <c r="P209" s="2006"/>
      <c r="Q209" s="2007"/>
      <c r="R209" s="1967"/>
      <c r="S209" s="88"/>
      <c r="T209" s="88"/>
      <c r="U209" s="88"/>
      <c r="V209" s="88"/>
      <c r="W209" s="88"/>
      <c r="X209" s="89"/>
      <c r="Y209" s="89"/>
      <c r="Z209" s="89"/>
    </row>
    <row r="210" spans="1:27">
      <c r="A210" s="2141">
        <v>85</v>
      </c>
      <c r="B210" s="2142">
        <v>2</v>
      </c>
      <c r="C210" s="2143" t="s">
        <v>1536</v>
      </c>
      <c r="D210" s="2144" t="s">
        <v>1560</v>
      </c>
      <c r="E210" s="2145" t="s">
        <v>1560</v>
      </c>
      <c r="F210" s="2152" t="s">
        <v>1610</v>
      </c>
      <c r="G210" s="2146" t="s">
        <v>1884</v>
      </c>
      <c r="H210" s="2147">
        <f>H208</f>
        <v>0.2356</v>
      </c>
      <c r="I210" s="2153">
        <f>'Don gia XD'!M495</f>
        <v>372864</v>
      </c>
      <c r="J210" s="2148"/>
      <c r="K210" s="2153">
        <f>'Don gia XD'!M500</f>
        <v>677157</v>
      </c>
      <c r="L210" s="2153">
        <f>'Don gia XD'!M502</f>
        <v>711503</v>
      </c>
      <c r="M210" s="2148">
        <f ca="1">'Don gia XD'!M515</f>
        <v>2379650.3109227205</v>
      </c>
      <c r="N210" s="2148">
        <f>H210*I210</f>
        <v>87846.758400000006</v>
      </c>
      <c r="O210" s="2148">
        <f>H210*J210</f>
        <v>0</v>
      </c>
      <c r="P210" s="2148">
        <f>H210*K210</f>
        <v>159538.18919999999</v>
      </c>
      <c r="Q210" s="2149">
        <f>H210*L210</f>
        <v>167630.10680000001</v>
      </c>
      <c r="R210" s="2150">
        <f ca="1">H210*M210</f>
        <v>560645.61325339298</v>
      </c>
      <c r="S210" s="2151"/>
      <c r="T210" s="2151"/>
      <c r="U210" s="2151"/>
      <c r="V210" s="2151"/>
      <c r="W210" s="2151"/>
      <c r="X210" s="2147"/>
      <c r="Y210" s="2147"/>
      <c r="Z210" s="2147"/>
      <c r="AA210" s="79" t="s">
        <v>1830</v>
      </c>
    </row>
    <row r="211" spans="1:27" ht="31.5">
      <c r="A211" s="2080">
        <v>86</v>
      </c>
      <c r="B211" s="2081">
        <v>3</v>
      </c>
      <c r="C211" s="2078" t="s">
        <v>1536</v>
      </c>
      <c r="D211" s="2082" t="s">
        <v>1561</v>
      </c>
      <c r="E211" s="2083" t="s">
        <v>1561</v>
      </c>
      <c r="F211" s="2089" t="s">
        <v>1958</v>
      </c>
      <c r="G211" s="2079" t="s">
        <v>1873</v>
      </c>
      <c r="H211" s="2088">
        <f>SUM(H212:H212)</f>
        <v>1.2035</v>
      </c>
      <c r="I211" s="2121">
        <f>'Don gia XD'!M517</f>
        <v>3139500</v>
      </c>
      <c r="J211" s="2085"/>
      <c r="K211" s="2121">
        <f>'Don gia XD'!M520</f>
        <v>1668050</v>
      </c>
      <c r="L211" s="2085"/>
      <c r="M211" s="2085">
        <f ca="1">'Don gia XD'!M532</f>
        <v>6494539.8713139994</v>
      </c>
      <c r="N211" s="2085">
        <f>H211*I211</f>
        <v>3778388.25</v>
      </c>
      <c r="O211" s="2085">
        <f>H211*J211</f>
        <v>0</v>
      </c>
      <c r="P211" s="2085">
        <f>H211*K211</f>
        <v>2007498.175</v>
      </c>
      <c r="Q211" s="2086">
        <f>H211*L211</f>
        <v>0</v>
      </c>
      <c r="R211" s="2076">
        <f ca="1">H211*M211</f>
        <v>7816178.7351263985</v>
      </c>
      <c r="S211" s="2087"/>
      <c r="T211" s="2087"/>
      <c r="U211" s="2087"/>
      <c r="V211" s="2087"/>
      <c r="W211" s="2087"/>
      <c r="X211" s="2088"/>
      <c r="Y211" s="2088"/>
      <c r="Z211" s="2088"/>
      <c r="AA211" s="79" t="s">
        <v>1830</v>
      </c>
    </row>
    <row r="212" spans="1:27" ht="31.5">
      <c r="A212" s="1960"/>
      <c r="B212" s="1999"/>
      <c r="C212" s="2000"/>
      <c r="D212" s="2001"/>
      <c r="E212" s="2021" t="s">
        <v>1536</v>
      </c>
      <c r="F212" s="2003" t="s">
        <v>1769</v>
      </c>
      <c r="G212" s="2004"/>
      <c r="H212" s="2008">
        <f>ROUND(kl(F212),Config!$C$104)</f>
        <v>1.2035</v>
      </c>
      <c r="I212" s="2006"/>
      <c r="J212" s="2006"/>
      <c r="K212" s="2006"/>
      <c r="L212" s="2006"/>
      <c r="M212" s="2006"/>
      <c r="N212" s="2006"/>
      <c r="O212" s="2006"/>
      <c r="P212" s="2006"/>
      <c r="Q212" s="2007"/>
      <c r="R212" s="1967"/>
      <c r="S212" s="88"/>
      <c r="T212" s="88"/>
      <c r="U212" s="88"/>
      <c r="V212" s="88"/>
      <c r="W212" s="88"/>
      <c r="X212" s="89"/>
      <c r="Y212" s="89"/>
      <c r="Z212" s="89"/>
    </row>
    <row r="213" spans="1:27">
      <c r="A213" s="1960"/>
      <c r="B213" s="1999"/>
      <c r="C213" s="2000"/>
      <c r="D213" s="2001"/>
      <c r="E213" s="2021" t="s">
        <v>1536</v>
      </c>
      <c r="F213" s="2009"/>
      <c r="G213" s="2004"/>
      <c r="H213" s="2005"/>
      <c r="I213" s="2006"/>
      <c r="J213" s="2006"/>
      <c r="K213" s="2006"/>
      <c r="L213" s="2006"/>
      <c r="M213" s="2006"/>
      <c r="N213" s="2006"/>
      <c r="O213" s="2006"/>
      <c r="P213" s="2006"/>
      <c r="Q213" s="2007"/>
      <c r="R213" s="1967"/>
      <c r="S213" s="88"/>
      <c r="T213" s="88"/>
      <c r="U213" s="88"/>
      <c r="V213" s="88"/>
      <c r="W213" s="88"/>
      <c r="X213" s="89"/>
      <c r="Y213" s="89"/>
      <c r="Z213" s="89"/>
    </row>
    <row r="214" spans="1:27">
      <c r="A214" s="1961"/>
      <c r="B214" s="1996"/>
      <c r="C214" s="2010"/>
      <c r="D214" s="2011"/>
      <c r="E214" s="2022" t="s">
        <v>304</v>
      </c>
      <c r="F214" s="1978" t="str">
        <f xml:space="preserve"> "Cộng: "&amp;F207</f>
        <v>Cộng: HỆ KÉT CẤU MÁI</v>
      </c>
      <c r="G214" s="1918"/>
      <c r="H214" s="1919"/>
      <c r="I214" s="1920"/>
      <c r="J214" s="1920"/>
      <c r="K214" s="1920"/>
      <c r="L214" s="1942"/>
      <c r="M214" s="1938"/>
      <c r="N214" s="1938">
        <f>SUM(N207:N213)</f>
        <v>9004663.9404000007</v>
      </c>
      <c r="O214" s="1938">
        <f>SUM(O207:O213)</f>
        <v>0</v>
      </c>
      <c r="P214" s="1938">
        <f>SUM(P207:P213)</f>
        <v>2495462.7642000001</v>
      </c>
      <c r="Q214" s="1972">
        <f>SUM(Q207:Q213)</f>
        <v>167630.10680000001</v>
      </c>
      <c r="R214" s="1968">
        <f ca="1">SUM(R207:R213)</f>
        <v>15762022.614519414</v>
      </c>
      <c r="S214" s="1939"/>
      <c r="T214" s="1939"/>
      <c r="U214" s="1939"/>
      <c r="V214" s="1939"/>
      <c r="W214" s="1939"/>
      <c r="X214" s="1940"/>
      <c r="Y214" s="1940"/>
      <c r="Z214" s="1941"/>
    </row>
    <row r="215" spans="1:27">
      <c r="A215" s="1961" t="s">
        <v>1641</v>
      </c>
      <c r="B215" s="1996"/>
      <c r="C215" s="1997"/>
      <c r="D215" s="1998"/>
      <c r="E215" s="2023" t="s">
        <v>1633</v>
      </c>
      <c r="F215" s="1978" t="s">
        <v>1611</v>
      </c>
      <c r="G215" s="1918"/>
      <c r="H215" s="1919"/>
      <c r="I215" s="1920"/>
      <c r="J215" s="1920"/>
      <c r="K215" s="1920"/>
      <c r="L215" s="1920"/>
      <c r="M215" s="1920"/>
      <c r="N215" s="1920"/>
      <c r="O215" s="1920"/>
      <c r="P215" s="1920"/>
      <c r="Q215" s="1971"/>
      <c r="R215" s="1921"/>
      <c r="S215" s="1922"/>
      <c r="T215" s="1922"/>
      <c r="U215" s="1922"/>
      <c r="V215" s="1922"/>
      <c r="W215" s="1922"/>
      <c r="X215" s="1923"/>
      <c r="Y215" s="1923"/>
      <c r="Z215" s="1924"/>
    </row>
    <row r="216" spans="1:27" ht="31.5">
      <c r="A216" s="2029">
        <v>87</v>
      </c>
      <c r="B216" s="2034">
        <v>1</v>
      </c>
      <c r="C216" s="2035" t="s">
        <v>1964</v>
      </c>
      <c r="D216" s="2036" t="s">
        <v>1965</v>
      </c>
      <c r="E216" s="2033" t="s">
        <v>1562</v>
      </c>
      <c r="F216" s="2040" t="s">
        <v>1966</v>
      </c>
      <c r="G216" s="2037" t="s">
        <v>1961</v>
      </c>
      <c r="H216" s="2321">
        <f>SUM(H217:H226)</f>
        <v>140.83199999999999</v>
      </c>
      <c r="I216" s="2072">
        <f>'Don gia XD'!M535</f>
        <v>6922</v>
      </c>
      <c r="J216" s="2038"/>
      <c r="K216" s="2072">
        <f>'Don gia XD'!M540</f>
        <v>59410</v>
      </c>
      <c r="L216" s="2072">
        <f>'Don gia XD'!M542</f>
        <v>96</v>
      </c>
      <c r="M216" s="2038">
        <f ca="1">'Don gia XD'!M554</f>
        <v>89737.869511840006</v>
      </c>
      <c r="N216" s="2038">
        <f>H216*I216</f>
        <v>974839.10399999993</v>
      </c>
      <c r="O216" s="2038">
        <f>H216*J216</f>
        <v>0</v>
      </c>
      <c r="P216" s="2038">
        <f>H216*K216</f>
        <v>8366829.1199999992</v>
      </c>
      <c r="Q216" s="2039">
        <f>H216*L216</f>
        <v>13519.871999999999</v>
      </c>
      <c r="R216" s="2030">
        <f ca="1">H216*M216</f>
        <v>12637963.639091451</v>
      </c>
      <c r="S216" s="2031"/>
      <c r="T216" s="2031"/>
      <c r="U216" s="2031"/>
      <c r="V216" s="2031"/>
      <c r="W216" s="2031"/>
      <c r="X216" s="2032"/>
      <c r="Y216" s="2032"/>
      <c r="Z216" s="2032"/>
      <c r="AA216" s="1956" t="s">
        <v>1830</v>
      </c>
    </row>
    <row r="217" spans="1:27">
      <c r="A217" s="1960"/>
      <c r="B217" s="1999"/>
      <c r="C217" s="2000"/>
      <c r="D217" s="2001"/>
      <c r="E217" s="2021" t="s">
        <v>1536</v>
      </c>
      <c r="F217" s="2003" t="s">
        <v>1770</v>
      </c>
      <c r="G217" s="2004"/>
      <c r="H217" s="2008">
        <f>ROUND(kl(F217),Config!$C$104)</f>
        <v>51.908999999999999</v>
      </c>
      <c r="I217" s="2006"/>
      <c r="J217" s="2006"/>
      <c r="K217" s="2006"/>
      <c r="L217" s="2006"/>
      <c r="M217" s="2006"/>
      <c r="N217" s="2006"/>
      <c r="O217" s="2006"/>
      <c r="P217" s="2006"/>
      <c r="Q217" s="2007"/>
      <c r="R217" s="1967"/>
      <c r="S217" s="88"/>
      <c r="T217" s="88"/>
      <c r="U217" s="88"/>
      <c r="V217" s="88"/>
      <c r="W217" s="88"/>
      <c r="X217" s="89"/>
      <c r="Y217" s="89"/>
      <c r="Z217" s="89"/>
    </row>
    <row r="218" spans="1:27">
      <c r="A218" s="1960"/>
      <c r="B218" s="1999"/>
      <c r="C218" s="2000"/>
      <c r="D218" s="2001"/>
      <c r="E218" s="2021" t="s">
        <v>1536</v>
      </c>
      <c r="F218" s="2003" t="s">
        <v>1771</v>
      </c>
      <c r="G218" s="2004"/>
      <c r="H218" s="2008">
        <f>ROUND(kl(F218),Config!$C$104)</f>
        <v>-5.28</v>
      </c>
      <c r="I218" s="2006"/>
      <c r="J218" s="2006"/>
      <c r="K218" s="2006"/>
      <c r="L218" s="2006"/>
      <c r="M218" s="2006"/>
      <c r="N218" s="2006"/>
      <c r="O218" s="2006"/>
      <c r="P218" s="2006"/>
      <c r="Q218" s="2007"/>
      <c r="R218" s="1967"/>
      <c r="S218" s="88"/>
      <c r="T218" s="88"/>
      <c r="U218" s="88"/>
      <c r="V218" s="88"/>
      <c r="W218" s="88"/>
      <c r="X218" s="89"/>
      <c r="Y218" s="89"/>
      <c r="Z218" s="89"/>
    </row>
    <row r="219" spans="1:27">
      <c r="A219" s="1960"/>
      <c r="B219" s="1999"/>
      <c r="C219" s="2000"/>
      <c r="D219" s="2001"/>
      <c r="E219" s="2021" t="s">
        <v>1536</v>
      </c>
      <c r="F219" s="2003" t="s">
        <v>1772</v>
      </c>
      <c r="G219" s="2004"/>
      <c r="H219" s="2008">
        <f>ROUND(kl(F219),Config!$C$104)</f>
        <v>-0.97199999999999998</v>
      </c>
      <c r="I219" s="2006"/>
      <c r="J219" s="2006"/>
      <c r="K219" s="2006"/>
      <c r="L219" s="2006"/>
      <c r="M219" s="2006"/>
      <c r="N219" s="2006"/>
      <c r="O219" s="2006"/>
      <c r="P219" s="2006"/>
      <c r="Q219" s="2007"/>
      <c r="R219" s="1967"/>
      <c r="S219" s="88"/>
      <c r="T219" s="88"/>
      <c r="U219" s="88"/>
      <c r="V219" s="88"/>
      <c r="W219" s="88"/>
      <c r="X219" s="89"/>
      <c r="Y219" s="89"/>
      <c r="Z219" s="89"/>
    </row>
    <row r="220" spans="1:27">
      <c r="A220" s="1960"/>
      <c r="B220" s="1999"/>
      <c r="C220" s="2000"/>
      <c r="D220" s="2001"/>
      <c r="E220" s="2021" t="s">
        <v>1536</v>
      </c>
      <c r="F220" s="2003" t="s">
        <v>1773</v>
      </c>
      <c r="G220" s="2004"/>
      <c r="H220" s="2008">
        <f>ROUND(kl(F220),Config!$C$104)</f>
        <v>-3.36</v>
      </c>
      <c r="I220" s="2006"/>
      <c r="J220" s="2006"/>
      <c r="K220" s="2006"/>
      <c r="L220" s="2006"/>
      <c r="M220" s="2006"/>
      <c r="N220" s="2006"/>
      <c r="O220" s="2006"/>
      <c r="P220" s="2006"/>
      <c r="Q220" s="2007"/>
      <c r="R220" s="1967"/>
      <c r="S220" s="88"/>
      <c r="T220" s="88"/>
      <c r="U220" s="88"/>
      <c r="V220" s="88"/>
      <c r="W220" s="88"/>
      <c r="X220" s="89"/>
      <c r="Y220" s="89"/>
      <c r="Z220" s="89"/>
    </row>
    <row r="221" spans="1:27">
      <c r="A221" s="1960"/>
      <c r="B221" s="1999"/>
      <c r="C221" s="2000"/>
      <c r="D221" s="2001"/>
      <c r="E221" s="2021" t="s">
        <v>1536</v>
      </c>
      <c r="F221" s="2003" t="s">
        <v>1772</v>
      </c>
      <c r="G221" s="2004"/>
      <c r="H221" s="2008">
        <f>ROUND(kl(F221),Config!$C$104)</f>
        <v>-0.97199999999999998</v>
      </c>
      <c r="I221" s="2006"/>
      <c r="J221" s="2006"/>
      <c r="K221" s="2006"/>
      <c r="L221" s="2006"/>
      <c r="M221" s="2006"/>
      <c r="N221" s="2006"/>
      <c r="O221" s="2006"/>
      <c r="P221" s="2006"/>
      <c r="Q221" s="2007"/>
      <c r="R221" s="1967"/>
      <c r="S221" s="88"/>
      <c r="T221" s="88"/>
      <c r="U221" s="88"/>
      <c r="V221" s="88"/>
      <c r="W221" s="88"/>
      <c r="X221" s="89"/>
      <c r="Y221" s="89"/>
      <c r="Z221" s="89"/>
    </row>
    <row r="222" spans="1:27">
      <c r="A222" s="1960"/>
      <c r="B222" s="1999"/>
      <c r="C222" s="2000"/>
      <c r="D222" s="2001"/>
      <c r="E222" s="2021" t="s">
        <v>1536</v>
      </c>
      <c r="F222" s="2003" t="s">
        <v>1774</v>
      </c>
      <c r="G222" s="2004"/>
      <c r="H222" s="2008">
        <f>ROUND(kl(F222),Config!$C$104)</f>
        <v>51.908999999999999</v>
      </c>
      <c r="I222" s="2006"/>
      <c r="J222" s="2006"/>
      <c r="K222" s="2006"/>
      <c r="L222" s="2006"/>
      <c r="M222" s="2006"/>
      <c r="N222" s="2006"/>
      <c r="O222" s="2006"/>
      <c r="P222" s="2006"/>
      <c r="Q222" s="2007"/>
      <c r="R222" s="1967"/>
      <c r="S222" s="88"/>
      <c r="T222" s="88"/>
      <c r="U222" s="88"/>
      <c r="V222" s="88"/>
      <c r="W222" s="88"/>
      <c r="X222" s="89"/>
      <c r="Y222" s="89"/>
      <c r="Z222" s="89"/>
    </row>
    <row r="223" spans="1:27">
      <c r="A223" s="1960"/>
      <c r="B223" s="1999"/>
      <c r="C223" s="2000"/>
      <c r="D223" s="2001"/>
      <c r="E223" s="2021" t="s">
        <v>1536</v>
      </c>
      <c r="F223" s="2003" t="s">
        <v>1775</v>
      </c>
      <c r="G223" s="2004"/>
      <c r="H223" s="2008">
        <f>ROUND(kl(F223),Config!$C$104)</f>
        <v>-6.72</v>
      </c>
      <c r="I223" s="2006"/>
      <c r="J223" s="2006"/>
      <c r="K223" s="2006"/>
      <c r="L223" s="2006"/>
      <c r="M223" s="2006"/>
      <c r="N223" s="2006"/>
      <c r="O223" s="2006"/>
      <c r="P223" s="2006"/>
      <c r="Q223" s="2007"/>
      <c r="R223" s="1967"/>
      <c r="S223" s="88"/>
      <c r="T223" s="88"/>
      <c r="U223" s="88"/>
      <c r="V223" s="88"/>
      <c r="W223" s="88"/>
      <c r="X223" s="89"/>
      <c r="Y223" s="89"/>
      <c r="Z223" s="89"/>
    </row>
    <row r="224" spans="1:27">
      <c r="A224" s="1960"/>
      <c r="B224" s="1999"/>
      <c r="C224" s="2000"/>
      <c r="D224" s="2001"/>
      <c r="E224" s="2021" t="s">
        <v>1536</v>
      </c>
      <c r="F224" s="2003" t="s">
        <v>1776</v>
      </c>
      <c r="G224" s="2004"/>
      <c r="H224" s="2008">
        <f>ROUND(kl(F224),Config!$C$104)</f>
        <v>-1.944</v>
      </c>
      <c r="I224" s="2006"/>
      <c r="J224" s="2006"/>
      <c r="K224" s="2006"/>
      <c r="L224" s="2006"/>
      <c r="M224" s="2006"/>
      <c r="N224" s="2006"/>
      <c r="O224" s="2006"/>
      <c r="P224" s="2006"/>
      <c r="Q224" s="2007"/>
      <c r="R224" s="1967"/>
      <c r="S224" s="88"/>
      <c r="T224" s="88"/>
      <c r="U224" s="88"/>
      <c r="V224" s="88"/>
      <c r="W224" s="88"/>
      <c r="X224" s="89"/>
      <c r="Y224" s="89"/>
      <c r="Z224" s="89"/>
    </row>
    <row r="225" spans="1:27">
      <c r="A225" s="1960"/>
      <c r="B225" s="1999"/>
      <c r="C225" s="2000"/>
      <c r="D225" s="2001"/>
      <c r="E225" s="2021" t="s">
        <v>1536</v>
      </c>
      <c r="F225" s="2003" t="s">
        <v>1777</v>
      </c>
      <c r="G225" s="2004"/>
      <c r="H225" s="2008">
        <f xml:space="preserve"> 2*(5.4+0.11 )*3.9</f>
        <v>42.978000000000002</v>
      </c>
      <c r="I225" s="2006"/>
      <c r="J225" s="2006"/>
      <c r="K225" s="2006"/>
      <c r="L225" s="2006"/>
      <c r="M225" s="2006"/>
      <c r="N225" s="2006"/>
      <c r="O225" s="2006"/>
      <c r="P225" s="2006"/>
      <c r="Q225" s="2007"/>
      <c r="R225" s="1967"/>
      <c r="S225" s="88"/>
      <c r="T225" s="88"/>
      <c r="U225" s="88"/>
      <c r="V225" s="88"/>
      <c r="W225" s="88"/>
      <c r="X225" s="89"/>
      <c r="Y225" s="89"/>
      <c r="Z225" s="89"/>
    </row>
    <row r="226" spans="1:27">
      <c r="A226" s="1960"/>
      <c r="B226" s="1999"/>
      <c r="C226" s="2000"/>
      <c r="D226" s="2001"/>
      <c r="E226" s="2021" t="s">
        <v>1536</v>
      </c>
      <c r="F226" s="2003" t="s">
        <v>1778</v>
      </c>
      <c r="G226" s="2004"/>
      <c r="H226" s="2008">
        <f>ROUND(kl(F226),Config!$C$104)</f>
        <v>13.284000000000001</v>
      </c>
      <c r="I226" s="2006"/>
      <c r="J226" s="2006"/>
      <c r="K226" s="2006"/>
      <c r="L226" s="2006"/>
      <c r="M226" s="2006"/>
      <c r="N226" s="2006"/>
      <c r="O226" s="2006"/>
      <c r="P226" s="2006"/>
      <c r="Q226" s="2007"/>
      <c r="R226" s="1967"/>
      <c r="S226" s="88"/>
      <c r="T226" s="88"/>
      <c r="U226" s="88"/>
      <c r="V226" s="88"/>
      <c r="W226" s="88"/>
      <c r="X226" s="89"/>
      <c r="Y226" s="89"/>
      <c r="Z226" s="89"/>
    </row>
    <row r="227" spans="1:27" ht="31.5">
      <c r="A227" s="2080">
        <v>88</v>
      </c>
      <c r="B227" s="2081">
        <v>2</v>
      </c>
      <c r="C227" s="2078" t="s">
        <v>1964</v>
      </c>
      <c r="D227" s="2082" t="s">
        <v>1969</v>
      </c>
      <c r="E227" s="2083" t="s">
        <v>1563</v>
      </c>
      <c r="F227" s="2089" t="s">
        <v>1970</v>
      </c>
      <c r="G227" s="2079" t="s">
        <v>1961</v>
      </c>
      <c r="H227" s="2140">
        <f>SUM(H228:H236)</f>
        <v>254.09980000000002</v>
      </c>
      <c r="I227" s="2121">
        <f>'Don gia XD'!M556</f>
        <v>6922</v>
      </c>
      <c r="J227" s="2085"/>
      <c r="K227" s="2121">
        <f>'Don gia XD'!M561</f>
        <v>45700</v>
      </c>
      <c r="L227" s="2121">
        <f>'Don gia XD'!M563</f>
        <v>96</v>
      </c>
      <c r="M227" s="2085">
        <f ca="1">'Don gia XD'!M575</f>
        <v>71216.971833040006</v>
      </c>
      <c r="N227" s="2085">
        <f>H227*I227</f>
        <v>1758878.8156000001</v>
      </c>
      <c r="O227" s="2085">
        <f>H227*J227</f>
        <v>0</v>
      </c>
      <c r="P227" s="2085">
        <f>H227*K227</f>
        <v>11612360.860000001</v>
      </c>
      <c r="Q227" s="2086">
        <f>H227*L227</f>
        <v>24393.580800000003</v>
      </c>
      <c r="R227" s="2076">
        <f ca="1">H227*M227</f>
        <v>18096218.2993811</v>
      </c>
      <c r="S227" s="2087"/>
      <c r="T227" s="2087"/>
      <c r="U227" s="2087"/>
      <c r="V227" s="2087"/>
      <c r="W227" s="2087"/>
      <c r="X227" s="2088"/>
      <c r="Y227" s="2088"/>
      <c r="Z227" s="2088"/>
      <c r="AA227" s="1956" t="s">
        <v>1830</v>
      </c>
    </row>
    <row r="228" spans="1:27">
      <c r="A228" s="1960"/>
      <c r="B228" s="1999"/>
      <c r="C228" s="2000"/>
      <c r="D228" s="2001"/>
      <c r="E228" s="2021" t="s">
        <v>1536</v>
      </c>
      <c r="F228" s="2003" t="s">
        <v>1779</v>
      </c>
      <c r="G228" s="2004"/>
      <c r="H228" s="2008">
        <f>ROUND(kl(F228),Config!$C$104)</f>
        <v>100.386</v>
      </c>
      <c r="I228" s="2006"/>
      <c r="J228" s="2006"/>
      <c r="K228" s="2006"/>
      <c r="L228" s="2006"/>
      <c r="M228" s="2006"/>
      <c r="N228" s="2006"/>
      <c r="O228" s="2006"/>
      <c r="P228" s="2006"/>
      <c r="Q228" s="2007"/>
      <c r="R228" s="1967"/>
      <c r="S228" s="88"/>
      <c r="T228" s="88"/>
      <c r="U228" s="88"/>
      <c r="V228" s="88"/>
      <c r="W228" s="88"/>
      <c r="X228" s="89"/>
      <c r="Y228" s="89"/>
      <c r="Z228" s="89"/>
    </row>
    <row r="229" spans="1:27">
      <c r="A229" s="1960"/>
      <c r="B229" s="1999"/>
      <c r="C229" s="2000"/>
      <c r="D229" s="2001"/>
      <c r="E229" s="2021" t="s">
        <v>1536</v>
      </c>
      <c r="F229" s="2003" t="s">
        <v>1780</v>
      </c>
      <c r="G229" s="2004"/>
      <c r="H229" s="2008">
        <f>ROUND(kl(F229),Config!$C$104)</f>
        <v>-5.28</v>
      </c>
      <c r="I229" s="2006"/>
      <c r="J229" s="2006"/>
      <c r="K229" s="2006"/>
      <c r="L229" s="2006"/>
      <c r="M229" s="2006"/>
      <c r="N229" s="2006"/>
      <c r="O229" s="2006"/>
      <c r="P229" s="2006"/>
      <c r="Q229" s="2007"/>
      <c r="R229" s="1967"/>
      <c r="S229" s="88"/>
      <c r="T229" s="88"/>
      <c r="U229" s="88"/>
      <c r="V229" s="88"/>
      <c r="W229" s="88"/>
      <c r="X229" s="89"/>
      <c r="Y229" s="89"/>
      <c r="Z229" s="89"/>
    </row>
    <row r="230" spans="1:27">
      <c r="A230" s="1960"/>
      <c r="B230" s="1999"/>
      <c r="C230" s="2000"/>
      <c r="D230" s="2001"/>
      <c r="E230" s="2021" t="s">
        <v>1536</v>
      </c>
      <c r="F230" s="2003" t="s">
        <v>1781</v>
      </c>
      <c r="G230" s="2004"/>
      <c r="H230" s="2008">
        <f>ROUND(kl(F230),Config!$C$104)</f>
        <v>-0.97199999999999998</v>
      </c>
      <c r="I230" s="2006"/>
      <c r="J230" s="2006"/>
      <c r="K230" s="2006"/>
      <c r="L230" s="2006"/>
      <c r="M230" s="2006"/>
      <c r="N230" s="2006"/>
      <c r="O230" s="2006"/>
      <c r="P230" s="2006"/>
      <c r="Q230" s="2007"/>
      <c r="R230" s="1967"/>
      <c r="S230" s="88"/>
      <c r="T230" s="88"/>
      <c r="U230" s="88"/>
      <c r="V230" s="88"/>
      <c r="W230" s="88"/>
      <c r="X230" s="89"/>
      <c r="Y230" s="89"/>
      <c r="Z230" s="89"/>
    </row>
    <row r="231" spans="1:27">
      <c r="A231" s="1960"/>
      <c r="B231" s="1999"/>
      <c r="C231" s="2000"/>
      <c r="D231" s="2001"/>
      <c r="E231" s="2021" t="s">
        <v>1536</v>
      </c>
      <c r="F231" s="2003" t="s">
        <v>1782</v>
      </c>
      <c r="G231" s="2004"/>
      <c r="H231" s="2008">
        <f>ROUND(kl(F231),Config!$C$104)</f>
        <v>-10.08</v>
      </c>
      <c r="I231" s="2006"/>
      <c r="J231" s="2006"/>
      <c r="K231" s="2006"/>
      <c r="L231" s="2006"/>
      <c r="M231" s="2006"/>
      <c r="N231" s="2006"/>
      <c r="O231" s="2006"/>
      <c r="P231" s="2006"/>
      <c r="Q231" s="2007"/>
      <c r="R231" s="1967"/>
      <c r="S231" s="88"/>
      <c r="T231" s="88"/>
      <c r="U231" s="88"/>
      <c r="V231" s="88"/>
      <c r="W231" s="88"/>
      <c r="X231" s="89"/>
      <c r="Y231" s="89"/>
      <c r="Z231" s="89"/>
    </row>
    <row r="232" spans="1:27">
      <c r="A232" s="1960"/>
      <c r="B232" s="1999"/>
      <c r="C232" s="2000"/>
      <c r="D232" s="2001"/>
      <c r="E232" s="2021" t="s">
        <v>1536</v>
      </c>
      <c r="F232" s="2003" t="s">
        <v>1783</v>
      </c>
      <c r="G232" s="2004"/>
      <c r="H232" s="2008">
        <f>ROUND(kl(F232),Config!$C$104)</f>
        <v>-2.9159999999999999</v>
      </c>
      <c r="I232" s="2006"/>
      <c r="J232" s="2006"/>
      <c r="K232" s="2006"/>
      <c r="L232" s="2006"/>
      <c r="M232" s="2006"/>
      <c r="N232" s="2006"/>
      <c r="O232" s="2006"/>
      <c r="P232" s="2006"/>
      <c r="Q232" s="2007"/>
      <c r="R232" s="1967"/>
      <c r="S232" s="88"/>
      <c r="T232" s="88"/>
      <c r="U232" s="88"/>
      <c r="V232" s="88"/>
      <c r="W232" s="88"/>
      <c r="X232" s="89"/>
      <c r="Y232" s="89"/>
      <c r="Z232" s="89"/>
    </row>
    <row r="233" spans="1:27">
      <c r="A233" s="1960"/>
      <c r="B233" s="1999"/>
      <c r="C233" s="2000"/>
      <c r="D233" s="2001"/>
      <c r="E233" s="2021" t="s">
        <v>1536</v>
      </c>
      <c r="F233" s="2003" t="s">
        <v>1784</v>
      </c>
      <c r="G233" s="2004"/>
      <c r="H233" s="2008">
        <f>ROUND(kl(F233),Config!$C$104)</f>
        <v>123.786</v>
      </c>
      <c r="I233" s="2006"/>
      <c r="J233" s="2006"/>
      <c r="K233" s="2006"/>
      <c r="L233" s="2006"/>
      <c r="M233" s="2006"/>
      <c r="N233" s="2006"/>
      <c r="O233" s="2006"/>
      <c r="P233" s="2006"/>
      <c r="Q233" s="2007"/>
      <c r="R233" s="1967"/>
      <c r="S233" s="88"/>
      <c r="T233" s="88"/>
      <c r="U233" s="88"/>
      <c r="V233" s="88"/>
      <c r="W233" s="88"/>
      <c r="X233" s="89"/>
      <c r="Y233" s="89"/>
      <c r="Z233" s="89"/>
    </row>
    <row r="234" spans="1:27">
      <c r="A234" s="1960"/>
      <c r="B234" s="1999"/>
      <c r="C234" s="2000"/>
      <c r="D234" s="2001"/>
      <c r="E234" s="2021" t="s">
        <v>1536</v>
      </c>
      <c r="F234" s="2003" t="s">
        <v>1785</v>
      </c>
      <c r="G234" s="2004"/>
      <c r="H234" s="2008">
        <f>ROUND(kl(F234),Config!$C$104)</f>
        <v>-3.96</v>
      </c>
      <c r="I234" s="2006"/>
      <c r="J234" s="2006"/>
      <c r="K234" s="2006"/>
      <c r="L234" s="2006"/>
      <c r="M234" s="2006"/>
      <c r="N234" s="2006"/>
      <c r="O234" s="2006"/>
      <c r="P234" s="2006"/>
      <c r="Q234" s="2007"/>
      <c r="R234" s="1967"/>
      <c r="S234" s="88"/>
      <c r="T234" s="88"/>
      <c r="U234" s="88"/>
      <c r="V234" s="88"/>
      <c r="W234" s="88"/>
      <c r="X234" s="89"/>
      <c r="Y234" s="89"/>
      <c r="Z234" s="89"/>
    </row>
    <row r="235" spans="1:27">
      <c r="A235" s="1960"/>
      <c r="B235" s="1999"/>
      <c r="C235" s="2000"/>
      <c r="D235" s="2001"/>
      <c r="E235" s="2021" t="s">
        <v>1536</v>
      </c>
      <c r="F235" s="2003" t="s">
        <v>1612</v>
      </c>
      <c r="G235" s="2004"/>
      <c r="H235" s="2005"/>
      <c r="I235" s="2006"/>
      <c r="J235" s="2006"/>
      <c r="K235" s="2006"/>
      <c r="L235" s="2006"/>
      <c r="M235" s="2006"/>
      <c r="N235" s="2006"/>
      <c r="O235" s="2006"/>
      <c r="P235" s="2006"/>
      <c r="Q235" s="2007"/>
      <c r="R235" s="1967"/>
      <c r="S235" s="88"/>
      <c r="T235" s="88"/>
      <c r="U235" s="88"/>
      <c r="V235" s="88"/>
      <c r="W235" s="88"/>
      <c r="X235" s="89"/>
      <c r="Y235" s="89"/>
      <c r="Z235" s="89"/>
    </row>
    <row r="236" spans="1:27">
      <c r="A236" s="1960"/>
      <c r="B236" s="1999"/>
      <c r="C236" s="2000"/>
      <c r="D236" s="2001"/>
      <c r="E236" s="2021" t="s">
        <v>1536</v>
      </c>
      <c r="F236" s="2003" t="s">
        <v>1786</v>
      </c>
      <c r="G236" s="2004"/>
      <c r="H236" s="2008">
        <f>ROUND(kl(F236),Config!$C$104)</f>
        <v>53.135800000000003</v>
      </c>
      <c r="I236" s="2006"/>
      <c r="J236" s="2006"/>
      <c r="K236" s="2006"/>
      <c r="L236" s="2006"/>
      <c r="M236" s="2006"/>
      <c r="N236" s="2006"/>
      <c r="O236" s="2006"/>
      <c r="P236" s="2006"/>
      <c r="Q236" s="2007"/>
      <c r="R236" s="1967"/>
      <c r="S236" s="88"/>
      <c r="T236" s="88"/>
      <c r="U236" s="88"/>
      <c r="V236" s="88"/>
      <c r="W236" s="88"/>
      <c r="X236" s="89"/>
      <c r="Y236" s="89"/>
      <c r="Z236" s="89"/>
    </row>
    <row r="237" spans="1:27" ht="47.25">
      <c r="A237" s="2080">
        <v>89</v>
      </c>
      <c r="B237" s="2081">
        <v>3</v>
      </c>
      <c r="C237" s="2078" t="s">
        <v>1971</v>
      </c>
      <c r="D237" s="2082" t="s">
        <v>1972</v>
      </c>
      <c r="E237" s="2083" t="s">
        <v>1564</v>
      </c>
      <c r="F237" s="2089" t="s">
        <v>1973</v>
      </c>
      <c r="G237" s="2079" t="s">
        <v>1961</v>
      </c>
      <c r="H237" s="2140">
        <f>SUM(H238)</f>
        <v>17.16</v>
      </c>
      <c r="I237" s="2121">
        <f>'Don gia XD'!M577</f>
        <v>9337</v>
      </c>
      <c r="J237" s="2085"/>
      <c r="K237" s="2121">
        <f>'Don gia XD'!M582</f>
        <v>128982</v>
      </c>
      <c r="L237" s="2121">
        <f>'Don gia XD'!M584</f>
        <v>145</v>
      </c>
      <c r="M237" s="2085">
        <f ca="1">'Don gia XD'!M596</f>
        <v>187051.61022591998</v>
      </c>
      <c r="N237" s="2085">
        <f>H237*I237</f>
        <v>160222.92000000001</v>
      </c>
      <c r="O237" s="2085">
        <f>H237*J237</f>
        <v>0</v>
      </c>
      <c r="P237" s="2085">
        <f>H237*K237</f>
        <v>2213331.12</v>
      </c>
      <c r="Q237" s="2086">
        <f>H237*L237</f>
        <v>2488.1999999999998</v>
      </c>
      <c r="R237" s="2076">
        <f ca="1">H237*M237</f>
        <v>3209805.6314767869</v>
      </c>
      <c r="S237" s="2087"/>
      <c r="T237" s="2087"/>
      <c r="U237" s="2087"/>
      <c r="V237" s="2087"/>
      <c r="W237" s="2087"/>
      <c r="X237" s="2088"/>
      <c r="Y237" s="2088"/>
      <c r="Z237" s="2088"/>
      <c r="AA237" s="1956" t="s">
        <v>1830</v>
      </c>
    </row>
    <row r="238" spans="1:27">
      <c r="A238" s="1960"/>
      <c r="B238" s="1999"/>
      <c r="C238" s="2000"/>
      <c r="D238" s="2001"/>
      <c r="E238" s="2021" t="s">
        <v>1536</v>
      </c>
      <c r="F238" s="2003" t="s">
        <v>1787</v>
      </c>
      <c r="G238" s="2004"/>
      <c r="H238" s="2008">
        <f>ROUND(kl(F238),Config!$C$104)</f>
        <v>17.16</v>
      </c>
      <c r="I238" s="2006"/>
      <c r="J238" s="2006"/>
      <c r="K238" s="2006"/>
      <c r="L238" s="2006"/>
      <c r="M238" s="2006"/>
      <c r="N238" s="2006"/>
      <c r="O238" s="2006"/>
      <c r="P238" s="2006"/>
      <c r="Q238" s="2007"/>
      <c r="R238" s="1967"/>
      <c r="S238" s="88"/>
      <c r="T238" s="88"/>
      <c r="U238" s="88"/>
      <c r="V238" s="88"/>
      <c r="W238" s="88"/>
      <c r="X238" s="89"/>
      <c r="Y238" s="89"/>
      <c r="Z238" s="89"/>
    </row>
    <row r="239" spans="1:27" ht="31.5">
      <c r="A239" s="2080">
        <v>90</v>
      </c>
      <c r="B239" s="2081">
        <v>4</v>
      </c>
      <c r="C239" s="2078" t="s">
        <v>1964</v>
      </c>
      <c r="D239" s="2082" t="s">
        <v>1974</v>
      </c>
      <c r="E239" s="2083" t="s">
        <v>1565</v>
      </c>
      <c r="F239" s="2089" t="s">
        <v>1975</v>
      </c>
      <c r="G239" s="2079" t="s">
        <v>1961</v>
      </c>
      <c r="H239" s="2140">
        <f>SUM(H240:H241)</f>
        <v>2.8489999999999998</v>
      </c>
      <c r="I239" s="2121">
        <f>'Don gia XD'!M598</f>
        <v>7330</v>
      </c>
      <c r="J239" s="2085"/>
      <c r="K239" s="2121">
        <f>'Don gia XD'!M603</f>
        <v>86815</v>
      </c>
      <c r="L239" s="2121">
        <f>'Don gia XD'!M605</f>
        <v>145</v>
      </c>
      <c r="M239" s="2085">
        <f ca="1">'Don gia XD'!M617</f>
        <v>127376.76456119999</v>
      </c>
      <c r="N239" s="2085">
        <f>H239*I239</f>
        <v>20883.169999999998</v>
      </c>
      <c r="O239" s="2085">
        <f>H239*J239</f>
        <v>0</v>
      </c>
      <c r="P239" s="2085">
        <f>H239*K239</f>
        <v>247335.93499999997</v>
      </c>
      <c r="Q239" s="2086">
        <f>H239*L239</f>
        <v>413.10499999999996</v>
      </c>
      <c r="R239" s="2076">
        <f ca="1">H239*M239</f>
        <v>362896.40223485872</v>
      </c>
      <c r="S239" s="2087"/>
      <c r="T239" s="2087"/>
      <c r="U239" s="2087"/>
      <c r="V239" s="2087"/>
      <c r="W239" s="2087"/>
      <c r="X239" s="2088"/>
      <c r="Y239" s="2088"/>
      <c r="Z239" s="2088"/>
      <c r="AA239" s="1956" t="s">
        <v>1830</v>
      </c>
    </row>
    <row r="240" spans="1:27">
      <c r="A240" s="1960"/>
      <c r="B240" s="1999"/>
      <c r="C240" s="2000"/>
      <c r="D240" s="2001"/>
      <c r="E240" s="2021" t="s">
        <v>1536</v>
      </c>
      <c r="F240" s="2003" t="s">
        <v>1788</v>
      </c>
      <c r="G240" s="2004"/>
      <c r="H240" s="2008">
        <f>ROUND(kl(F240),Config!$C$104)</f>
        <v>2.2791999999999999</v>
      </c>
      <c r="I240" s="2006"/>
      <c r="J240" s="2006"/>
      <c r="K240" s="2006"/>
      <c r="L240" s="2006"/>
      <c r="M240" s="2006"/>
      <c r="N240" s="2006"/>
      <c r="O240" s="2006"/>
      <c r="P240" s="2006"/>
      <c r="Q240" s="2007"/>
      <c r="R240" s="1967"/>
      <c r="S240" s="88"/>
      <c r="T240" s="88"/>
      <c r="U240" s="88"/>
      <c r="V240" s="88"/>
      <c r="W240" s="88"/>
      <c r="X240" s="89"/>
      <c r="Y240" s="89"/>
      <c r="Z240" s="89"/>
    </row>
    <row r="241" spans="1:27">
      <c r="A241" s="1960"/>
      <c r="B241" s="1999"/>
      <c r="C241" s="2000"/>
      <c r="D241" s="2001"/>
      <c r="E241" s="2021" t="s">
        <v>1536</v>
      </c>
      <c r="F241" s="2003" t="s">
        <v>1789</v>
      </c>
      <c r="G241" s="2004"/>
      <c r="H241" s="2008">
        <f>ROUND(kl(F241),Config!$C$104)</f>
        <v>0.56979999999999997</v>
      </c>
      <c r="I241" s="2006"/>
      <c r="J241" s="2006"/>
      <c r="K241" s="2006"/>
      <c r="L241" s="2006"/>
      <c r="M241" s="2006"/>
      <c r="N241" s="2006"/>
      <c r="O241" s="2006"/>
      <c r="P241" s="2006"/>
      <c r="Q241" s="2007"/>
      <c r="R241" s="1967"/>
      <c r="S241" s="88"/>
      <c r="T241" s="88"/>
      <c r="U241" s="88"/>
      <c r="V241" s="88"/>
      <c r="W241" s="88"/>
      <c r="X241" s="89"/>
      <c r="Y241" s="89"/>
      <c r="Z241" s="89"/>
    </row>
    <row r="242" spans="1:27" ht="31.5">
      <c r="A242" s="2080">
        <v>91</v>
      </c>
      <c r="B242" s="2081">
        <v>5</v>
      </c>
      <c r="C242" s="2078" t="s">
        <v>1964</v>
      </c>
      <c r="D242" s="2082" t="s">
        <v>1974</v>
      </c>
      <c r="E242" s="2083" t="s">
        <v>1565</v>
      </c>
      <c r="F242" s="2089" t="s">
        <v>1975</v>
      </c>
      <c r="G242" s="2079" t="s">
        <v>1961</v>
      </c>
      <c r="H242" s="2140">
        <f>SUM(H243:H254)</f>
        <v>18.763400000000001</v>
      </c>
      <c r="I242" s="2121">
        <f>'Don gia XD'!M619</f>
        <v>7330</v>
      </c>
      <c r="J242" s="2085"/>
      <c r="K242" s="2121">
        <f>'Don gia XD'!M624</f>
        <v>86815</v>
      </c>
      <c r="L242" s="2121">
        <f>'Don gia XD'!M626</f>
        <v>145</v>
      </c>
      <c r="M242" s="2085">
        <f ca="1">'Don gia XD'!M638</f>
        <v>127376.76456119999</v>
      </c>
      <c r="N242" s="2085">
        <f>H242*I242</f>
        <v>137535.72200000001</v>
      </c>
      <c r="O242" s="2085">
        <f>H242*J242</f>
        <v>0</v>
      </c>
      <c r="P242" s="2085">
        <f>H242*K242</f>
        <v>1628944.571</v>
      </c>
      <c r="Q242" s="2086">
        <f>H242*L242</f>
        <v>2720.6930000000002</v>
      </c>
      <c r="R242" s="2076">
        <f ca="1">H242*M242</f>
        <v>2390021.1841676198</v>
      </c>
      <c r="S242" s="2087"/>
      <c r="T242" s="2087"/>
      <c r="U242" s="2087"/>
      <c r="V242" s="2087"/>
      <c r="W242" s="2087"/>
      <c r="X242" s="2088"/>
      <c r="Y242" s="2088"/>
      <c r="Z242" s="2088"/>
      <c r="AA242" s="1956" t="s">
        <v>1830</v>
      </c>
    </row>
    <row r="243" spans="1:27" ht="31.5">
      <c r="A243" s="1960"/>
      <c r="B243" s="1999"/>
      <c r="C243" s="2000"/>
      <c r="D243" s="2001"/>
      <c r="E243" s="2021" t="s">
        <v>1536</v>
      </c>
      <c r="F243" s="2003" t="s">
        <v>1790</v>
      </c>
      <c r="G243" s="2004"/>
      <c r="H243" s="2008">
        <f>ROUND(kl(F243),Config!$C$104)</f>
        <v>1.7622</v>
      </c>
      <c r="I243" s="2006"/>
      <c r="J243" s="2006"/>
      <c r="K243" s="2006"/>
      <c r="L243" s="2006"/>
      <c r="M243" s="2006"/>
      <c r="N243" s="2006"/>
      <c r="O243" s="2006"/>
      <c r="P243" s="2006"/>
      <c r="Q243" s="2007"/>
      <c r="R243" s="1967"/>
      <c r="S243" s="88"/>
      <c r="T243" s="88"/>
      <c r="U243" s="88"/>
      <c r="V243" s="88"/>
      <c r="W243" s="88"/>
      <c r="X243" s="89"/>
      <c r="Y243" s="89"/>
      <c r="Z243" s="89"/>
    </row>
    <row r="244" spans="1:27">
      <c r="A244" s="1960"/>
      <c r="B244" s="1999"/>
      <c r="C244" s="2000"/>
      <c r="D244" s="2001"/>
      <c r="E244" s="2021" t="s">
        <v>1536</v>
      </c>
      <c r="F244" s="2003" t="s">
        <v>1791</v>
      </c>
      <c r="G244" s="2004"/>
      <c r="H244" s="2008">
        <f>ROUND(kl(F244),Config!$C$104)</f>
        <v>0.44059999999999999</v>
      </c>
      <c r="I244" s="2006"/>
      <c r="J244" s="2006"/>
      <c r="K244" s="2006"/>
      <c r="L244" s="2006"/>
      <c r="M244" s="2006"/>
      <c r="N244" s="2006"/>
      <c r="O244" s="2006"/>
      <c r="P244" s="2006"/>
      <c r="Q244" s="2007"/>
      <c r="R244" s="1967"/>
      <c r="S244" s="88"/>
      <c r="T244" s="88"/>
      <c r="U244" s="88"/>
      <c r="V244" s="88"/>
      <c r="W244" s="88"/>
      <c r="X244" s="89"/>
      <c r="Y244" s="89"/>
      <c r="Z244" s="89"/>
    </row>
    <row r="245" spans="1:27">
      <c r="A245" s="1960"/>
      <c r="B245" s="1999"/>
      <c r="C245" s="2000"/>
      <c r="D245" s="2001"/>
      <c r="E245" s="2021" t="s">
        <v>1536</v>
      </c>
      <c r="F245" s="2003" t="s">
        <v>1658</v>
      </c>
      <c r="G245" s="2004"/>
      <c r="H245" s="2005"/>
      <c r="I245" s="2006"/>
      <c r="J245" s="2006"/>
      <c r="K245" s="2006"/>
      <c r="L245" s="2006"/>
      <c r="M245" s="2006"/>
      <c r="N245" s="2006"/>
      <c r="O245" s="2006"/>
      <c r="P245" s="2006"/>
      <c r="Q245" s="2007"/>
      <c r="R245" s="1967"/>
      <c r="S245" s="88"/>
      <c r="T245" s="88"/>
      <c r="U245" s="88"/>
      <c r="V245" s="88"/>
      <c r="W245" s="88"/>
      <c r="X245" s="89"/>
      <c r="Y245" s="89"/>
      <c r="Z245" s="89"/>
    </row>
    <row r="246" spans="1:27" ht="31.5">
      <c r="A246" s="1960"/>
      <c r="B246" s="1999"/>
      <c r="C246" s="2000"/>
      <c r="D246" s="2001"/>
      <c r="E246" s="2021" t="s">
        <v>1536</v>
      </c>
      <c r="F246" s="2003" t="s">
        <v>1792</v>
      </c>
      <c r="G246" s="2004"/>
      <c r="H246" s="2008">
        <f>ROUND(kl(F246),Config!$C$104)</f>
        <v>2.7103999999999999</v>
      </c>
      <c r="I246" s="2006"/>
      <c r="J246" s="2006"/>
      <c r="K246" s="2006"/>
      <c r="L246" s="2006"/>
      <c r="M246" s="2006"/>
      <c r="N246" s="2006"/>
      <c r="O246" s="2006"/>
      <c r="P246" s="2006"/>
      <c r="Q246" s="2007"/>
      <c r="R246" s="1967"/>
      <c r="S246" s="88"/>
      <c r="T246" s="88"/>
      <c r="U246" s="88"/>
      <c r="V246" s="88"/>
      <c r="W246" s="88"/>
      <c r="X246" s="89"/>
      <c r="Y246" s="89"/>
      <c r="Z246" s="89"/>
    </row>
    <row r="247" spans="1:27" ht="31.5">
      <c r="A247" s="1960"/>
      <c r="B247" s="1999"/>
      <c r="C247" s="2000"/>
      <c r="D247" s="2001"/>
      <c r="E247" s="2021" t="s">
        <v>1536</v>
      </c>
      <c r="F247" s="2003" t="s">
        <v>1793</v>
      </c>
      <c r="G247" s="2004"/>
      <c r="H247" s="2008">
        <f>ROUND(kl(F247),Config!$C$104)</f>
        <v>5.7728000000000002</v>
      </c>
      <c r="I247" s="2006"/>
      <c r="J247" s="2006"/>
      <c r="K247" s="2006"/>
      <c r="L247" s="2006"/>
      <c r="M247" s="2006"/>
      <c r="N247" s="2006"/>
      <c r="O247" s="2006"/>
      <c r="P247" s="2006"/>
      <c r="Q247" s="2007"/>
      <c r="R247" s="1967"/>
      <c r="S247" s="88"/>
      <c r="T247" s="88"/>
      <c r="U247" s="88"/>
      <c r="V247" s="88"/>
      <c r="W247" s="88"/>
      <c r="X247" s="89"/>
      <c r="Y247" s="89"/>
      <c r="Z247" s="89"/>
    </row>
    <row r="248" spans="1:27" ht="31.5">
      <c r="A248" s="1960"/>
      <c r="B248" s="1999"/>
      <c r="C248" s="2000"/>
      <c r="D248" s="2001"/>
      <c r="E248" s="2021" t="s">
        <v>1536</v>
      </c>
      <c r="F248" s="2003" t="s">
        <v>1794</v>
      </c>
      <c r="G248" s="2004"/>
      <c r="H248" s="2008">
        <f>ROUND(kl(F248),Config!$C$104)</f>
        <v>4.9279999999999999</v>
      </c>
      <c r="I248" s="2006"/>
      <c r="J248" s="2006"/>
      <c r="K248" s="2006"/>
      <c r="L248" s="2006"/>
      <c r="M248" s="2006"/>
      <c r="N248" s="2006"/>
      <c r="O248" s="2006"/>
      <c r="P248" s="2006"/>
      <c r="Q248" s="2007"/>
      <c r="R248" s="1967"/>
      <c r="S248" s="88"/>
      <c r="T248" s="88"/>
      <c r="U248" s="88"/>
      <c r="V248" s="88"/>
      <c r="W248" s="88"/>
      <c r="X248" s="89"/>
      <c r="Y248" s="89"/>
      <c r="Z248" s="89"/>
    </row>
    <row r="249" spans="1:27">
      <c r="A249" s="1960"/>
      <c r="B249" s="1999"/>
      <c r="C249" s="2000"/>
      <c r="D249" s="2001"/>
      <c r="E249" s="2021" t="s">
        <v>1536</v>
      </c>
      <c r="F249" s="2003" t="s">
        <v>1795</v>
      </c>
      <c r="G249" s="2004"/>
      <c r="H249" s="2008">
        <f>ROUND(kl(F249),Config!$C$104)</f>
        <v>0.16</v>
      </c>
      <c r="I249" s="2006"/>
      <c r="J249" s="2006"/>
      <c r="K249" s="2006"/>
      <c r="L249" s="2006"/>
      <c r="M249" s="2006"/>
      <c r="N249" s="2006"/>
      <c r="O249" s="2006"/>
      <c r="P249" s="2006"/>
      <c r="Q249" s="2007"/>
      <c r="R249" s="1967"/>
      <c r="S249" s="88"/>
      <c r="T249" s="88"/>
      <c r="U249" s="88"/>
      <c r="V249" s="88"/>
      <c r="W249" s="88"/>
      <c r="X249" s="89"/>
      <c r="Y249" s="89"/>
      <c r="Z249" s="89"/>
    </row>
    <row r="250" spans="1:27">
      <c r="A250" s="1960"/>
      <c r="B250" s="1999"/>
      <c r="C250" s="2000"/>
      <c r="D250" s="2001"/>
      <c r="E250" s="2021" t="s">
        <v>1536</v>
      </c>
      <c r="F250" s="2003" t="s">
        <v>1600</v>
      </c>
      <c r="G250" s="2004"/>
      <c r="H250" s="2005"/>
      <c r="I250" s="2006"/>
      <c r="J250" s="2006"/>
      <c r="K250" s="2006"/>
      <c r="L250" s="2006"/>
      <c r="M250" s="2006"/>
      <c r="N250" s="2006"/>
      <c r="O250" s="2006"/>
      <c r="P250" s="2006"/>
      <c r="Q250" s="2007"/>
      <c r="R250" s="1967"/>
      <c r="S250" s="88"/>
      <c r="T250" s="88"/>
      <c r="U250" s="88"/>
      <c r="V250" s="88"/>
      <c r="W250" s="88"/>
      <c r="X250" s="89"/>
      <c r="Y250" s="89"/>
      <c r="Z250" s="89"/>
    </row>
    <row r="251" spans="1:27" ht="31.5">
      <c r="A251" s="1960"/>
      <c r="B251" s="1999"/>
      <c r="C251" s="2000"/>
      <c r="D251" s="2001"/>
      <c r="E251" s="2021" t="s">
        <v>1536</v>
      </c>
      <c r="F251" s="2003" t="s">
        <v>1796</v>
      </c>
      <c r="G251" s="2004"/>
      <c r="H251" s="2008">
        <f>ROUND(kl(F251),Config!$C$104)</f>
        <v>0.58740000000000003</v>
      </c>
      <c r="I251" s="2006"/>
      <c r="J251" s="2006"/>
      <c r="K251" s="2006"/>
      <c r="L251" s="2006"/>
      <c r="M251" s="2006"/>
      <c r="N251" s="2006"/>
      <c r="O251" s="2006"/>
      <c r="P251" s="2006"/>
      <c r="Q251" s="2007"/>
      <c r="R251" s="1967"/>
      <c r="S251" s="88"/>
      <c r="T251" s="88"/>
      <c r="U251" s="88"/>
      <c r="V251" s="88"/>
      <c r="W251" s="88"/>
      <c r="X251" s="89"/>
      <c r="Y251" s="89"/>
      <c r="Z251" s="89"/>
    </row>
    <row r="252" spans="1:27" ht="47.25">
      <c r="A252" s="1960"/>
      <c r="B252" s="1999"/>
      <c r="C252" s="2000"/>
      <c r="D252" s="2001"/>
      <c r="E252" s="2021" t="s">
        <v>1536</v>
      </c>
      <c r="F252" s="2003" t="s">
        <v>1797</v>
      </c>
      <c r="G252" s="2004"/>
      <c r="H252" s="2008">
        <f xml:space="preserve"> 2*(1.5-0.11*2- 0.055+0.2)*2*0.22</f>
        <v>1.254</v>
      </c>
      <c r="I252" s="2006"/>
      <c r="J252" s="2006"/>
      <c r="K252" s="2006"/>
      <c r="L252" s="2006"/>
      <c r="M252" s="2006"/>
      <c r="N252" s="2006"/>
      <c r="O252" s="2006"/>
      <c r="P252" s="2006"/>
      <c r="Q252" s="2007"/>
      <c r="R252" s="1967"/>
      <c r="S252" s="88"/>
      <c r="T252" s="88"/>
      <c r="U252" s="88"/>
      <c r="V252" s="88"/>
      <c r="W252" s="88"/>
      <c r="X252" s="89"/>
      <c r="Y252" s="89"/>
      <c r="Z252" s="89"/>
    </row>
    <row r="253" spans="1:27" ht="31.5">
      <c r="A253" s="1960"/>
      <c r="B253" s="1999"/>
      <c r="C253" s="2000"/>
      <c r="D253" s="2001"/>
      <c r="E253" s="2021" t="s">
        <v>1536</v>
      </c>
      <c r="F253" s="2003" t="s">
        <v>1798</v>
      </c>
      <c r="G253" s="2004"/>
      <c r="H253" s="2008">
        <f>ROUND(kl(F253),Config!$C$104)</f>
        <v>1.0680000000000001</v>
      </c>
      <c r="I253" s="2006"/>
      <c r="J253" s="2006"/>
      <c r="K253" s="2006"/>
      <c r="L253" s="2006"/>
      <c r="M253" s="2006"/>
      <c r="N253" s="2006"/>
      <c r="O253" s="2006"/>
      <c r="P253" s="2006"/>
      <c r="Q253" s="2007"/>
      <c r="R253" s="1967"/>
      <c r="S253" s="88"/>
      <c r="T253" s="88"/>
      <c r="U253" s="88"/>
      <c r="V253" s="88"/>
      <c r="W253" s="88"/>
      <c r="X253" s="89"/>
      <c r="Y253" s="89"/>
      <c r="Z253" s="89"/>
    </row>
    <row r="254" spans="1:27">
      <c r="A254" s="1960"/>
      <c r="B254" s="1999"/>
      <c r="C254" s="2000"/>
      <c r="D254" s="2001"/>
      <c r="E254" s="2021" t="s">
        <v>1536</v>
      </c>
      <c r="F254" s="2003" t="s">
        <v>1799</v>
      </c>
      <c r="G254" s="2004"/>
      <c r="H254" s="2008">
        <f>ROUND(kl(F254),Config!$C$104)</f>
        <v>0.08</v>
      </c>
      <c r="I254" s="2006"/>
      <c r="J254" s="2006"/>
      <c r="K254" s="2006"/>
      <c r="L254" s="2006"/>
      <c r="M254" s="2006"/>
      <c r="N254" s="2006"/>
      <c r="O254" s="2006"/>
      <c r="P254" s="2006"/>
      <c r="Q254" s="2007"/>
      <c r="R254" s="1967"/>
      <c r="S254" s="88"/>
      <c r="T254" s="88"/>
      <c r="U254" s="88"/>
      <c r="V254" s="88"/>
      <c r="W254" s="88"/>
      <c r="X254" s="89"/>
      <c r="Y254" s="89"/>
      <c r="Z254" s="89"/>
    </row>
    <row r="255" spans="1:27" ht="47.25">
      <c r="A255" s="2080">
        <v>92</v>
      </c>
      <c r="B255" s="2081">
        <v>6</v>
      </c>
      <c r="C255" s="2078" t="s">
        <v>1536</v>
      </c>
      <c r="D255" s="2082" t="s">
        <v>1566</v>
      </c>
      <c r="E255" s="2083" t="s">
        <v>1566</v>
      </c>
      <c r="F255" s="2089" t="s">
        <v>1976</v>
      </c>
      <c r="G255" s="2079" t="s">
        <v>1961</v>
      </c>
      <c r="H255" s="2088">
        <f>SUM(H256:H259)</f>
        <v>256.94880000000001</v>
      </c>
      <c r="I255" s="2121">
        <f>'Don gia XD'!M640</f>
        <v>28760</v>
      </c>
      <c r="J255" s="2085"/>
      <c r="K255" s="2121">
        <f>'Don gia XD'!M644</f>
        <v>15081</v>
      </c>
      <c r="L255" s="2085"/>
      <c r="M255" s="2085">
        <f ca="1">'Don gia XD'!M656</f>
        <v>59224.994539480002</v>
      </c>
      <c r="N255" s="2085">
        <f>H255*I255</f>
        <v>7389847.4879999999</v>
      </c>
      <c r="O255" s="2085">
        <f>H255*J255</f>
        <v>0</v>
      </c>
      <c r="P255" s="2085">
        <f>H255*K255</f>
        <v>3875044.8528</v>
      </c>
      <c r="Q255" s="2086">
        <f>H255*L255</f>
        <v>0</v>
      </c>
      <c r="R255" s="2076">
        <f ca="1">H255*M255</f>
        <v>15217791.27692594</v>
      </c>
      <c r="S255" s="2087"/>
      <c r="T255" s="2087"/>
      <c r="U255" s="2087"/>
      <c r="V255" s="2087"/>
      <c r="W255" s="2087"/>
      <c r="X255" s="2088"/>
      <c r="Y255" s="2088"/>
      <c r="Z255" s="2088"/>
      <c r="AA255" s="79" t="s">
        <v>1830</v>
      </c>
    </row>
    <row r="256" spans="1:27">
      <c r="A256" s="1960"/>
      <c r="B256" s="1999"/>
      <c r="C256" s="2000"/>
      <c r="D256" s="2001"/>
      <c r="E256" s="2021" t="s">
        <v>1536</v>
      </c>
      <c r="F256" s="2003" t="s">
        <v>1613</v>
      </c>
      <c r="G256" s="2004"/>
      <c r="H256" s="2005"/>
      <c r="I256" s="2006"/>
      <c r="J256" s="2006"/>
      <c r="K256" s="2006"/>
      <c r="L256" s="2006"/>
      <c r="M256" s="2006"/>
      <c r="N256" s="2006"/>
      <c r="O256" s="2006"/>
      <c r="P256" s="2006"/>
      <c r="Q256" s="2007"/>
      <c r="R256" s="1967"/>
      <c r="S256" s="88"/>
      <c r="T256" s="88"/>
      <c r="U256" s="88"/>
      <c r="V256" s="88"/>
      <c r="W256" s="88"/>
      <c r="X256" s="89"/>
      <c r="Y256" s="89"/>
      <c r="Z256" s="89"/>
    </row>
    <row r="257" spans="1:28">
      <c r="A257" s="1960"/>
      <c r="B257" s="1999"/>
      <c r="C257" s="2000"/>
      <c r="D257" s="2001"/>
      <c r="E257" s="2021" t="s">
        <v>1536</v>
      </c>
      <c r="F257" s="2012" t="s">
        <v>1614</v>
      </c>
      <c r="G257" s="2004"/>
      <c r="H257" s="2008">
        <f>ROUND(kl(F257),Config!$C$104)</f>
        <v>254.09979999999999</v>
      </c>
      <c r="I257" s="2006"/>
      <c r="J257" s="2006"/>
      <c r="K257" s="2006"/>
      <c r="L257" s="2006"/>
      <c r="M257" s="2006"/>
      <c r="N257" s="2006"/>
      <c r="O257" s="2006"/>
      <c r="P257" s="2006"/>
      <c r="Q257" s="2007"/>
      <c r="R257" s="1967"/>
      <c r="S257" s="88"/>
      <c r="T257" s="88"/>
      <c r="U257" s="88"/>
      <c r="V257" s="88"/>
      <c r="W257" s="88"/>
      <c r="X257" s="89"/>
      <c r="Y257" s="89"/>
      <c r="Z257" s="89"/>
    </row>
    <row r="258" spans="1:28">
      <c r="A258" s="1960"/>
      <c r="B258" s="1999"/>
      <c r="C258" s="2000"/>
      <c r="D258" s="2001"/>
      <c r="E258" s="2021" t="s">
        <v>1536</v>
      </c>
      <c r="F258" s="2003" t="s">
        <v>1615</v>
      </c>
      <c r="G258" s="2004"/>
      <c r="H258" s="2005"/>
      <c r="I258" s="2006"/>
      <c r="J258" s="2006"/>
      <c r="K258" s="2006"/>
      <c r="L258" s="2006"/>
      <c r="M258" s="2006"/>
      <c r="N258" s="2006"/>
      <c r="O258" s="2006"/>
      <c r="P258" s="2006"/>
      <c r="Q258" s="2007"/>
      <c r="R258" s="1967"/>
      <c r="S258" s="88"/>
      <c r="T258" s="88"/>
      <c r="U258" s="88"/>
      <c r="V258" s="88"/>
      <c r="W258" s="88"/>
      <c r="X258" s="89"/>
      <c r="Y258" s="89"/>
      <c r="Z258" s="89"/>
    </row>
    <row r="259" spans="1:28">
      <c r="A259" s="1960"/>
      <c r="B259" s="1999"/>
      <c r="C259" s="2000"/>
      <c r="D259" s="2001"/>
      <c r="E259" s="2021" t="s">
        <v>1536</v>
      </c>
      <c r="F259" s="2012" t="s">
        <v>1616</v>
      </c>
      <c r="G259" s="2004"/>
      <c r="H259" s="2008">
        <f>ROUND(kl(F259),Config!$C$104)</f>
        <v>2.8490000000000002</v>
      </c>
      <c r="I259" s="2006"/>
      <c r="J259" s="2006"/>
      <c r="K259" s="2006"/>
      <c r="L259" s="2006"/>
      <c r="M259" s="2006"/>
      <c r="N259" s="2006"/>
      <c r="O259" s="2006"/>
      <c r="P259" s="2006"/>
      <c r="Q259" s="2007"/>
      <c r="R259" s="1967"/>
      <c r="S259" s="88"/>
      <c r="T259" s="88"/>
      <c r="U259" s="88"/>
      <c r="V259" s="88"/>
      <c r="W259" s="88"/>
      <c r="X259" s="89"/>
      <c r="Y259" s="89"/>
      <c r="Z259" s="89"/>
    </row>
    <row r="260" spans="1:28" ht="47.25">
      <c r="A260" s="2080">
        <v>93</v>
      </c>
      <c r="B260" s="2081">
        <v>7</v>
      </c>
      <c r="C260" s="2078" t="s">
        <v>1536</v>
      </c>
      <c r="D260" s="2082" t="s">
        <v>1567</v>
      </c>
      <c r="E260" s="2083" t="s">
        <v>1567</v>
      </c>
      <c r="F260" s="2089" t="s">
        <v>1981</v>
      </c>
      <c r="G260" s="2079" t="s">
        <v>1961</v>
      </c>
      <c r="H260" s="2088">
        <f>SUM(H261:H266)</f>
        <v>176.75539999999998</v>
      </c>
      <c r="I260" s="2121">
        <f>'Don gia XD'!M658</f>
        <v>11531</v>
      </c>
      <c r="J260" s="2085"/>
      <c r="K260" s="2121">
        <f>'Don gia XD'!M662</f>
        <v>16681</v>
      </c>
      <c r="L260" s="2085"/>
      <c r="M260" s="2085">
        <f ca="1">'Don gia XD'!M674</f>
        <v>38111.711547359999</v>
      </c>
      <c r="N260" s="2085">
        <f>H260*I260</f>
        <v>2038166.5173999998</v>
      </c>
      <c r="O260" s="2085">
        <f>H260*J260</f>
        <v>0</v>
      </c>
      <c r="P260" s="2085">
        <f>H260*K260</f>
        <v>2948456.8273999998</v>
      </c>
      <c r="Q260" s="2086">
        <f>H260*L260</f>
        <v>0</v>
      </c>
      <c r="R260" s="2076">
        <f ca="1">H260*M260</f>
        <v>6736450.8192382352</v>
      </c>
      <c r="S260" s="2087"/>
      <c r="T260" s="2087"/>
      <c r="U260" s="2087"/>
      <c r="V260" s="2087"/>
      <c r="W260" s="2087"/>
      <c r="X260" s="2088"/>
      <c r="Y260" s="2088"/>
      <c r="Z260" s="2088"/>
      <c r="AA260" s="79" t="s">
        <v>1830</v>
      </c>
    </row>
    <row r="261" spans="1:28">
      <c r="A261" s="1960"/>
      <c r="B261" s="1999"/>
      <c r="C261" s="2000"/>
      <c r="D261" s="2001"/>
      <c r="E261" s="2021" t="s">
        <v>1536</v>
      </c>
      <c r="F261" s="2003" t="s">
        <v>1617</v>
      </c>
      <c r="G261" s="2004"/>
      <c r="H261" s="2005"/>
      <c r="I261" s="2006"/>
      <c r="J261" s="2006"/>
      <c r="K261" s="2006"/>
      <c r="L261" s="2006"/>
      <c r="M261" s="2006"/>
      <c r="N261" s="2006"/>
      <c r="O261" s="2006"/>
      <c r="P261" s="2006"/>
      <c r="Q261" s="2007"/>
      <c r="R261" s="1967"/>
      <c r="S261" s="88"/>
      <c r="T261" s="88"/>
      <c r="U261" s="88"/>
      <c r="V261" s="88"/>
      <c r="W261" s="88"/>
      <c r="X261" s="89"/>
      <c r="Y261" s="89"/>
      <c r="Z261" s="89"/>
    </row>
    <row r="262" spans="1:28">
      <c r="A262" s="1960"/>
      <c r="B262" s="1999"/>
      <c r="C262" s="2000"/>
      <c r="D262" s="2001"/>
      <c r="E262" s="2021" t="s">
        <v>1536</v>
      </c>
      <c r="F262" s="2012" t="s">
        <v>1618</v>
      </c>
      <c r="G262" s="2004"/>
      <c r="H262" s="2008">
        <f>ROUND(kl(F262),Config!$C$104)</f>
        <v>140.83199999999999</v>
      </c>
      <c r="I262" s="2006"/>
      <c r="J262" s="2006"/>
      <c r="K262" s="2006"/>
      <c r="L262" s="2006"/>
      <c r="M262" s="2006"/>
      <c r="N262" s="2006"/>
      <c r="O262" s="2006"/>
      <c r="P262" s="2006"/>
      <c r="Q262" s="2007"/>
      <c r="R262" s="1967"/>
      <c r="S262" s="88"/>
      <c r="T262" s="88"/>
      <c r="U262" s="88"/>
      <c r="V262" s="88"/>
      <c r="W262" s="88"/>
      <c r="X262" s="89"/>
      <c r="Y262" s="89"/>
      <c r="Z262" s="89"/>
    </row>
    <row r="263" spans="1:28">
      <c r="A263" s="1960"/>
      <c r="B263" s="1999"/>
      <c r="C263" s="2000"/>
      <c r="D263" s="2001"/>
      <c r="E263" s="2021" t="s">
        <v>1536</v>
      </c>
      <c r="F263" s="2003" t="s">
        <v>1619</v>
      </c>
      <c r="G263" s="2004"/>
      <c r="H263" s="2005"/>
      <c r="I263" s="2006"/>
      <c r="J263" s="2006"/>
      <c r="K263" s="2006"/>
      <c r="L263" s="2006"/>
      <c r="M263" s="2006"/>
      <c r="N263" s="2006"/>
      <c r="O263" s="2006"/>
      <c r="P263" s="2006"/>
      <c r="Q263" s="2007"/>
      <c r="R263" s="1967"/>
      <c r="S263" s="88"/>
      <c r="T263" s="88"/>
      <c r="U263" s="88"/>
      <c r="V263" s="88"/>
      <c r="W263" s="88"/>
      <c r="X263" s="89"/>
      <c r="Y263" s="89"/>
      <c r="Z263" s="89"/>
    </row>
    <row r="264" spans="1:28">
      <c r="A264" s="1960"/>
      <c r="B264" s="1999"/>
      <c r="C264" s="2000"/>
      <c r="D264" s="2001"/>
      <c r="E264" s="2021" t="s">
        <v>1536</v>
      </c>
      <c r="F264" s="2012" t="s">
        <v>1620</v>
      </c>
      <c r="G264" s="2004"/>
      <c r="H264" s="2008">
        <f>ROUND(kl(F264),Config!$C$104)</f>
        <v>18.763400000000001</v>
      </c>
      <c r="I264" s="2006"/>
      <c r="J264" s="2006"/>
      <c r="K264" s="2006"/>
      <c r="L264" s="2006"/>
      <c r="M264" s="2006"/>
      <c r="N264" s="2006"/>
      <c r="O264" s="2006"/>
      <c r="P264" s="2006"/>
      <c r="Q264" s="2007"/>
      <c r="R264" s="1967"/>
      <c r="S264" s="88"/>
      <c r="T264" s="88"/>
      <c r="U264" s="88"/>
      <c r="V264" s="88"/>
      <c r="W264" s="88"/>
      <c r="X264" s="89"/>
      <c r="Y264" s="89"/>
      <c r="Z264" s="89"/>
    </row>
    <row r="265" spans="1:28">
      <c r="A265" s="1960"/>
      <c r="B265" s="1999"/>
      <c r="C265" s="2000"/>
      <c r="D265" s="2001"/>
      <c r="E265" s="2021" t="s">
        <v>1536</v>
      </c>
      <c r="F265" s="2003" t="s">
        <v>1621</v>
      </c>
      <c r="G265" s="2004"/>
      <c r="H265" s="2005"/>
      <c r="I265" s="2006"/>
      <c r="J265" s="2006"/>
      <c r="K265" s="2006"/>
      <c r="L265" s="2006"/>
      <c r="M265" s="2006"/>
      <c r="N265" s="2006"/>
      <c r="O265" s="2006"/>
      <c r="P265" s="2006"/>
      <c r="Q265" s="2007"/>
      <c r="R265" s="1967"/>
      <c r="S265" s="88"/>
      <c r="T265" s="88"/>
      <c r="U265" s="88"/>
      <c r="V265" s="88"/>
      <c r="W265" s="88"/>
      <c r="X265" s="89"/>
      <c r="Y265" s="89"/>
      <c r="Z265" s="89"/>
    </row>
    <row r="266" spans="1:28">
      <c r="A266" s="1960"/>
      <c r="B266" s="1999"/>
      <c r="C266" s="2000"/>
      <c r="D266" s="2001"/>
      <c r="E266" s="2021" t="s">
        <v>1536</v>
      </c>
      <c r="F266" s="2012" t="s">
        <v>1622</v>
      </c>
      <c r="G266" s="2004"/>
      <c r="H266" s="2008">
        <f>ROUND(kl(F266),Config!$C$104)</f>
        <v>17.16</v>
      </c>
      <c r="I266" s="2006"/>
      <c r="J266" s="2006"/>
      <c r="K266" s="2006"/>
      <c r="L266" s="2006"/>
      <c r="M266" s="2006"/>
      <c r="N266" s="2006"/>
      <c r="O266" s="2006"/>
      <c r="P266" s="2006"/>
      <c r="Q266" s="2007"/>
      <c r="R266" s="1967"/>
      <c r="S266" s="88"/>
      <c r="T266" s="88"/>
      <c r="U266" s="88"/>
      <c r="V266" s="88"/>
      <c r="W266" s="88"/>
      <c r="X266" s="89"/>
      <c r="Y266" s="89"/>
      <c r="Z266" s="89"/>
    </row>
    <row r="267" spans="1:28" ht="31.5">
      <c r="A267" s="2080">
        <v>94</v>
      </c>
      <c r="B267" s="2081">
        <v>8</v>
      </c>
      <c r="C267" s="2078" t="s">
        <v>2036</v>
      </c>
      <c r="D267" s="2082" t="s">
        <v>2037</v>
      </c>
      <c r="E267" s="2083" t="s">
        <v>2059</v>
      </c>
      <c r="F267" s="2089" t="s">
        <v>2039</v>
      </c>
      <c r="G267" s="2079" t="s">
        <v>1961</v>
      </c>
      <c r="H267" s="2088">
        <f>SUM(H268:H274)</f>
        <v>89.170399999999987</v>
      </c>
      <c r="I267" s="2121">
        <f>'Don gia XD'!M676</f>
        <v>159401</v>
      </c>
      <c r="J267" s="2085"/>
      <c r="K267" s="2121">
        <f>'Don gia XD'!M684</f>
        <v>42167</v>
      </c>
      <c r="L267" s="2121">
        <f>'Don gia XD'!M686</f>
        <v>837</v>
      </c>
      <c r="M267" s="2085">
        <f ca="1">'Don gia XD'!M698</f>
        <v>273429.78079340002</v>
      </c>
      <c r="N267" s="2085">
        <f>H267*I267</f>
        <v>14213850.930399997</v>
      </c>
      <c r="O267" s="2085">
        <f>H267*J267</f>
        <v>0</v>
      </c>
      <c r="P267" s="2085">
        <f>H267*K267</f>
        <v>3760048.2567999996</v>
      </c>
      <c r="Q267" s="2086">
        <f>H267*L267</f>
        <v>74635.624799999991</v>
      </c>
      <c r="R267" s="2076">
        <f ca="1">H267*M267</f>
        <v>24381842.925259791</v>
      </c>
      <c r="S267" s="2087"/>
      <c r="T267" s="2087"/>
      <c r="U267" s="2087"/>
      <c r="V267" s="2087"/>
      <c r="W267" s="2087"/>
      <c r="X267" s="2088"/>
      <c r="Y267" s="2088"/>
      <c r="Z267" s="2088"/>
      <c r="AA267" s="1956" t="s">
        <v>1830</v>
      </c>
      <c r="AB267" s="1958"/>
    </row>
    <row r="268" spans="1:28" ht="31.5">
      <c r="A268" s="1960"/>
      <c r="B268" s="1999"/>
      <c r="C268" s="2000"/>
      <c r="D268" s="2001"/>
      <c r="E268" s="2021" t="s">
        <v>1536</v>
      </c>
      <c r="F268" s="2003" t="s">
        <v>1800</v>
      </c>
      <c r="G268" s="2004"/>
      <c r="H268" s="2008">
        <f>ROUND(kl(F268),Config!$C$104)</f>
        <v>20.868099999999998</v>
      </c>
      <c r="I268" s="2006"/>
      <c r="J268" s="2006"/>
      <c r="K268" s="2006"/>
      <c r="L268" s="2006"/>
      <c r="M268" s="2006"/>
      <c r="N268" s="2006"/>
      <c r="O268" s="2006"/>
      <c r="P268" s="2006"/>
      <c r="Q268" s="2007"/>
      <c r="R268" s="1967"/>
      <c r="S268" s="88"/>
      <c r="T268" s="88"/>
      <c r="U268" s="88"/>
      <c r="V268" s="88"/>
      <c r="W268" s="88"/>
      <c r="X268" s="89"/>
      <c r="Y268" s="89"/>
      <c r="Z268" s="89"/>
    </row>
    <row r="269" spans="1:28">
      <c r="A269" s="1960"/>
      <c r="B269" s="1999"/>
      <c r="C269" s="2000"/>
      <c r="D269" s="2001"/>
      <c r="E269" s="2021" t="s">
        <v>1536</v>
      </c>
      <c r="F269" s="2003" t="s">
        <v>1801</v>
      </c>
      <c r="G269" s="2004"/>
      <c r="H269" s="2008">
        <f>ROUND(kl(F269),Config!$C$104)</f>
        <v>-0.24199999999999999</v>
      </c>
      <c r="I269" s="2006"/>
      <c r="J269" s="2006"/>
      <c r="K269" s="2006"/>
      <c r="L269" s="2006"/>
      <c r="M269" s="2006"/>
      <c r="N269" s="2006"/>
      <c r="O269" s="2006"/>
      <c r="P269" s="2006"/>
      <c r="Q269" s="2007"/>
      <c r="R269" s="1967"/>
      <c r="S269" s="88"/>
      <c r="T269" s="88"/>
      <c r="U269" s="88"/>
      <c r="V269" s="88"/>
      <c r="W269" s="88"/>
      <c r="X269" s="89"/>
      <c r="Y269" s="89"/>
      <c r="Z269" s="89"/>
    </row>
    <row r="270" spans="1:28" ht="31.5">
      <c r="A270" s="1960"/>
      <c r="B270" s="1999"/>
      <c r="C270" s="2000"/>
      <c r="D270" s="2001"/>
      <c r="E270" s="2021" t="s">
        <v>1536</v>
      </c>
      <c r="F270" s="2003" t="s">
        <v>1802</v>
      </c>
      <c r="G270" s="2004"/>
      <c r="H270" s="2008">
        <f xml:space="preserve"> 1 *(13.2+0.11 )*(5.4+0.11)</f>
        <v>73.338099999999997</v>
      </c>
      <c r="I270" s="2006"/>
      <c r="J270" s="2006"/>
      <c r="K270" s="2006"/>
      <c r="L270" s="2006"/>
      <c r="M270" s="2006"/>
      <c r="N270" s="2006"/>
      <c r="O270" s="2006"/>
      <c r="P270" s="2006"/>
      <c r="Q270" s="2007"/>
      <c r="R270" s="1967"/>
      <c r="S270" s="88"/>
      <c r="T270" s="88"/>
      <c r="U270" s="88"/>
      <c r="V270" s="88"/>
      <c r="W270" s="88"/>
      <c r="X270" s="89"/>
      <c r="Y270" s="89"/>
      <c r="Z270" s="89"/>
    </row>
    <row r="271" spans="1:28" ht="31.5">
      <c r="A271" s="1960"/>
      <c r="B271" s="1999"/>
      <c r="C271" s="2000"/>
      <c r="D271" s="2001"/>
      <c r="E271" s="2021" t="s">
        <v>1536</v>
      </c>
      <c r="F271" s="2003" t="s">
        <v>1803</v>
      </c>
      <c r="G271" s="2004"/>
      <c r="H271" s="2008">
        <f>ROUND(kl(F271),Config!$C$104)</f>
        <v>-1.2000999999999999</v>
      </c>
      <c r="I271" s="2006"/>
      <c r="J271" s="2006"/>
      <c r="K271" s="2006"/>
      <c r="L271" s="2006"/>
      <c r="M271" s="2006"/>
      <c r="N271" s="2006"/>
      <c r="O271" s="2006"/>
      <c r="P271" s="2006"/>
      <c r="Q271" s="2007"/>
      <c r="R271" s="1967"/>
      <c r="S271" s="88"/>
      <c r="T271" s="88"/>
      <c r="U271" s="88"/>
      <c r="V271" s="88"/>
      <c r="W271" s="88"/>
      <c r="X271" s="89"/>
      <c r="Y271" s="89"/>
      <c r="Z271" s="89"/>
    </row>
    <row r="272" spans="1:28" ht="31.5">
      <c r="A272" s="1960"/>
      <c r="B272" s="1999"/>
      <c r="C272" s="2000"/>
      <c r="D272" s="2001"/>
      <c r="E272" s="2021" t="s">
        <v>1536</v>
      </c>
      <c r="F272" s="2003" t="s">
        <v>1804</v>
      </c>
      <c r="G272" s="2004"/>
      <c r="H272" s="2008">
        <f xml:space="preserve"> -1 *(13.2+0.11 )*0.11</f>
        <v>-1.4641</v>
      </c>
      <c r="I272" s="2006"/>
      <c r="J272" s="2006"/>
      <c r="K272" s="2006"/>
      <c r="L272" s="2006"/>
      <c r="M272" s="2006"/>
      <c r="N272" s="2006"/>
      <c r="O272" s="2006"/>
      <c r="P272" s="2006"/>
      <c r="Q272" s="2007"/>
      <c r="R272" s="1967"/>
      <c r="S272" s="88"/>
      <c r="T272" s="88"/>
      <c r="U272" s="88"/>
      <c r="V272" s="88"/>
      <c r="W272" s="88"/>
      <c r="X272" s="89"/>
      <c r="Y272" s="89"/>
      <c r="Z272" s="89"/>
    </row>
    <row r="273" spans="1:28" ht="31.5">
      <c r="A273" s="1960"/>
      <c r="B273" s="1999"/>
      <c r="C273" s="2000"/>
      <c r="D273" s="2001"/>
      <c r="E273" s="2021" t="s">
        <v>1536</v>
      </c>
      <c r="F273" s="2003" t="s">
        <v>1805</v>
      </c>
      <c r="G273" s="2004"/>
      <c r="H273" s="2008">
        <f xml:space="preserve"> -2*(5.4-0.11 )*0.11</f>
        <v>-1.1637999999999999</v>
      </c>
      <c r="I273" s="2006"/>
      <c r="J273" s="2006"/>
      <c r="K273" s="2006"/>
      <c r="L273" s="2006"/>
      <c r="M273" s="2006"/>
      <c r="N273" s="2006"/>
      <c r="O273" s="2006"/>
      <c r="P273" s="2006"/>
      <c r="Q273" s="2007"/>
      <c r="R273" s="1967"/>
      <c r="S273" s="88"/>
      <c r="T273" s="88"/>
      <c r="U273" s="88"/>
      <c r="V273" s="88"/>
      <c r="W273" s="88"/>
      <c r="X273" s="89"/>
      <c r="Y273" s="89"/>
      <c r="Z273" s="89"/>
    </row>
    <row r="274" spans="1:28" ht="31.5">
      <c r="A274" s="1960"/>
      <c r="B274" s="1999"/>
      <c r="C274" s="2000"/>
      <c r="D274" s="2001"/>
      <c r="E274" s="2021" t="s">
        <v>1536</v>
      </c>
      <c r="F274" s="2003" t="s">
        <v>1806</v>
      </c>
      <c r="G274" s="2004"/>
      <c r="H274" s="2008">
        <f xml:space="preserve"> -2*(5.4-0.11 -0.9)*0.11</f>
        <v>-0.96579999999999988</v>
      </c>
      <c r="I274" s="2006"/>
      <c r="J274" s="2006"/>
      <c r="K274" s="2006"/>
      <c r="L274" s="2006"/>
      <c r="M274" s="2006"/>
      <c r="N274" s="2006"/>
      <c r="O274" s="2006"/>
      <c r="P274" s="2006"/>
      <c r="Q274" s="2007"/>
      <c r="R274" s="1967"/>
      <c r="S274" s="88"/>
      <c r="T274" s="88"/>
      <c r="U274" s="88"/>
      <c r="V274" s="88"/>
      <c r="W274" s="88"/>
      <c r="X274" s="89"/>
      <c r="Y274" s="89"/>
      <c r="Z274" s="89"/>
    </row>
    <row r="275" spans="1:28" ht="31.5">
      <c r="A275" s="2080">
        <v>95</v>
      </c>
      <c r="B275" s="2081">
        <v>9</v>
      </c>
      <c r="C275" s="2078" t="s">
        <v>2048</v>
      </c>
      <c r="D275" s="2082" t="s">
        <v>1568</v>
      </c>
      <c r="E275" s="2083" t="s">
        <v>2049</v>
      </c>
      <c r="F275" s="2089" t="s">
        <v>2050</v>
      </c>
      <c r="G275" s="2079" t="s">
        <v>1961</v>
      </c>
      <c r="H275" s="2084">
        <f>SUM(H276:H287)</f>
        <v>16.686</v>
      </c>
      <c r="I275" s="2121">
        <f>'Don gia XD'!M700</f>
        <v>126038</v>
      </c>
      <c r="J275" s="2085"/>
      <c r="K275" s="2121">
        <f>'Don gia XD'!M707</f>
        <v>79374</v>
      </c>
      <c r="L275" s="2121">
        <f>'Don gia XD'!M709</f>
        <v>4187</v>
      </c>
      <c r="M275" s="2085">
        <f ca="1">'Don gia XD'!M721</f>
        <v>283148.18618372001</v>
      </c>
      <c r="N275" s="2085">
        <f>H275*I275</f>
        <v>2103070.068</v>
      </c>
      <c r="O275" s="2085">
        <f>H275*J275</f>
        <v>0</v>
      </c>
      <c r="P275" s="2085">
        <f>H275*K275</f>
        <v>1324434.564</v>
      </c>
      <c r="Q275" s="2086">
        <f>H275*L275</f>
        <v>69864.282000000007</v>
      </c>
      <c r="R275" s="2076">
        <f ca="1">H275*M275</f>
        <v>4724610.6346615525</v>
      </c>
      <c r="S275" s="2087"/>
      <c r="T275" s="2087"/>
      <c r="U275" s="2087"/>
      <c r="V275" s="2087"/>
      <c r="W275" s="2087"/>
      <c r="X275" s="2088"/>
      <c r="Y275" s="2088"/>
      <c r="Z275" s="2088"/>
      <c r="AA275" s="1956" t="s">
        <v>1830</v>
      </c>
      <c r="AB275" s="1958"/>
    </row>
    <row r="276" spans="1:28">
      <c r="A276" s="1960"/>
      <c r="B276" s="1999"/>
      <c r="C276" s="2000"/>
      <c r="D276" s="2001"/>
      <c r="E276" s="2021" t="s">
        <v>1536</v>
      </c>
      <c r="F276" s="2003" t="s">
        <v>2046</v>
      </c>
      <c r="G276" s="2004"/>
      <c r="H276" s="2008"/>
      <c r="I276" s="2006"/>
      <c r="J276" s="2006"/>
      <c r="K276" s="2006"/>
      <c r="L276" s="2006"/>
      <c r="M276" s="2006"/>
      <c r="N276" s="2006"/>
      <c r="O276" s="2006"/>
      <c r="P276" s="2006"/>
      <c r="Q276" s="2007"/>
      <c r="R276" s="1967"/>
      <c r="S276" s="88"/>
      <c r="T276" s="88"/>
      <c r="U276" s="88"/>
      <c r="V276" s="88"/>
      <c r="W276" s="88"/>
      <c r="X276" s="89"/>
      <c r="Y276" s="89"/>
      <c r="Z276" s="89"/>
    </row>
    <row r="277" spans="1:28">
      <c r="A277" s="1960"/>
      <c r="B277" s="1999"/>
      <c r="C277" s="2000"/>
      <c r="D277" s="2001"/>
      <c r="E277" s="2021" t="s">
        <v>1536</v>
      </c>
      <c r="F277" s="2003" t="s">
        <v>1807</v>
      </c>
      <c r="G277" s="2004"/>
      <c r="H277" s="2008">
        <f>ROUND(kl(F277),Config!$C$104)</f>
        <v>4.3860000000000001</v>
      </c>
      <c r="I277" s="2006"/>
      <c r="J277" s="2006"/>
      <c r="K277" s="2006"/>
      <c r="L277" s="2006"/>
      <c r="M277" s="2006"/>
      <c r="N277" s="2006"/>
      <c r="O277" s="2006"/>
      <c r="P277" s="2006"/>
      <c r="Q277" s="2007"/>
      <c r="R277" s="1967"/>
      <c r="S277" s="88"/>
      <c r="T277" s="88"/>
      <c r="U277" s="88"/>
      <c r="V277" s="88"/>
      <c r="W277" s="88"/>
      <c r="X277" s="89"/>
      <c r="Y277" s="89"/>
      <c r="Z277" s="89"/>
    </row>
    <row r="278" spans="1:28">
      <c r="A278" s="1960"/>
      <c r="B278" s="1999"/>
      <c r="C278" s="2000"/>
      <c r="D278" s="2001"/>
      <c r="E278" s="2021" t="s">
        <v>1536</v>
      </c>
      <c r="F278" s="2003" t="s">
        <v>1808</v>
      </c>
      <c r="G278" s="2004"/>
      <c r="H278" s="2008">
        <f>ROUND(kl(F278),Config!$C$104)</f>
        <v>0.93300000000000005</v>
      </c>
      <c r="I278" s="2006"/>
      <c r="J278" s="2006"/>
      <c r="K278" s="2006"/>
      <c r="L278" s="2006"/>
      <c r="M278" s="2006"/>
      <c r="N278" s="2006"/>
      <c r="O278" s="2006"/>
      <c r="P278" s="2006"/>
      <c r="Q278" s="2007"/>
      <c r="R278" s="1967"/>
      <c r="S278" s="88"/>
      <c r="T278" s="88"/>
      <c r="U278" s="88"/>
      <c r="V278" s="88"/>
      <c r="W278" s="88"/>
      <c r="X278" s="89"/>
      <c r="Y278" s="89"/>
      <c r="Z278" s="89"/>
    </row>
    <row r="279" spans="1:28">
      <c r="A279" s="1960"/>
      <c r="B279" s="1999"/>
      <c r="C279" s="2000"/>
      <c r="D279" s="2001"/>
      <c r="E279" s="2021" t="s">
        <v>1536</v>
      </c>
      <c r="F279" s="2003" t="s">
        <v>1809</v>
      </c>
      <c r="G279" s="2004"/>
      <c r="H279" s="2008">
        <f>ROUND(kl(F279),Config!$C$104)</f>
        <v>0.42599999999999999</v>
      </c>
      <c r="I279" s="2006"/>
      <c r="J279" s="2006"/>
      <c r="K279" s="2006"/>
      <c r="L279" s="2006"/>
      <c r="M279" s="2006"/>
      <c r="N279" s="2006"/>
      <c r="O279" s="2006"/>
      <c r="P279" s="2006"/>
      <c r="Q279" s="2007"/>
      <c r="R279" s="1967"/>
      <c r="S279" s="88"/>
      <c r="T279" s="88"/>
      <c r="U279" s="88"/>
      <c r="V279" s="88"/>
      <c r="W279" s="88"/>
      <c r="X279" s="89"/>
      <c r="Y279" s="89"/>
      <c r="Z279" s="89"/>
    </row>
    <row r="280" spans="1:28">
      <c r="A280" s="1960"/>
      <c r="B280" s="1999"/>
      <c r="C280" s="2000"/>
      <c r="D280" s="2001"/>
      <c r="E280" s="2021" t="s">
        <v>1536</v>
      </c>
      <c r="F280" s="2003" t="s">
        <v>1810</v>
      </c>
      <c r="G280" s="2004"/>
      <c r="H280" s="2008">
        <f>ROUND(kl(F280),Config!$C$104)</f>
        <v>2.1930000000000001</v>
      </c>
      <c r="I280" s="2006"/>
      <c r="J280" s="2006"/>
      <c r="K280" s="2006"/>
      <c r="L280" s="2006"/>
      <c r="M280" s="2006"/>
      <c r="N280" s="2006"/>
      <c r="O280" s="2006"/>
      <c r="P280" s="2006"/>
      <c r="Q280" s="2007"/>
      <c r="R280" s="1967"/>
      <c r="S280" s="88"/>
      <c r="T280" s="88"/>
      <c r="U280" s="88"/>
      <c r="V280" s="88"/>
      <c r="W280" s="88"/>
      <c r="X280" s="89"/>
      <c r="Y280" s="89"/>
      <c r="Z280" s="89"/>
    </row>
    <row r="281" spans="1:28">
      <c r="A281" s="1960"/>
      <c r="B281" s="1999"/>
      <c r="C281" s="2000"/>
      <c r="D281" s="2001"/>
      <c r="E281" s="2021" t="s">
        <v>1536</v>
      </c>
      <c r="F281" s="2003" t="s">
        <v>1811</v>
      </c>
      <c r="G281" s="2004"/>
      <c r="H281" s="2008">
        <f>ROUND(kl(F281),Config!$C$104)</f>
        <v>0.73650000000000004</v>
      </c>
      <c r="I281" s="2006"/>
      <c r="J281" s="2006"/>
      <c r="K281" s="2006"/>
      <c r="L281" s="2006"/>
      <c r="M281" s="2006"/>
      <c r="N281" s="2006"/>
      <c r="O281" s="2006"/>
      <c r="P281" s="2006"/>
      <c r="Q281" s="2007"/>
      <c r="R281" s="1967"/>
      <c r="S281" s="88"/>
      <c r="T281" s="88"/>
      <c r="U281" s="88"/>
      <c r="V281" s="88"/>
      <c r="W281" s="88"/>
      <c r="X281" s="89"/>
      <c r="Y281" s="89"/>
      <c r="Z281" s="89"/>
    </row>
    <row r="282" spans="1:28">
      <c r="A282" s="1960"/>
      <c r="B282" s="1999"/>
      <c r="C282" s="2000"/>
      <c r="D282" s="2001"/>
      <c r="E282" s="2021" t="s">
        <v>1536</v>
      </c>
      <c r="F282" s="2003" t="s">
        <v>1812</v>
      </c>
      <c r="G282" s="2004"/>
      <c r="H282" s="2008">
        <f>ROUND(kl(F282),Config!$C$104)</f>
        <v>0.21299999999999999</v>
      </c>
      <c r="I282" s="2006"/>
      <c r="J282" s="2006"/>
      <c r="K282" s="2006"/>
      <c r="L282" s="2006"/>
      <c r="M282" s="2006"/>
      <c r="N282" s="2006"/>
      <c r="O282" s="2006"/>
      <c r="P282" s="2006"/>
      <c r="Q282" s="2007"/>
      <c r="R282" s="1967"/>
      <c r="S282" s="88"/>
      <c r="T282" s="88"/>
      <c r="U282" s="88"/>
      <c r="V282" s="88"/>
      <c r="W282" s="88"/>
      <c r="X282" s="89"/>
      <c r="Y282" s="89"/>
      <c r="Z282" s="89"/>
    </row>
    <row r="283" spans="1:28">
      <c r="A283" s="1960"/>
      <c r="B283" s="1999"/>
      <c r="C283" s="2000"/>
      <c r="D283" s="2001"/>
      <c r="E283" s="2021" t="s">
        <v>1536</v>
      </c>
      <c r="F283" s="2003" t="s">
        <v>2047</v>
      </c>
      <c r="G283" s="2004"/>
      <c r="H283" s="2008"/>
      <c r="I283" s="2006"/>
      <c r="J283" s="2006"/>
      <c r="K283" s="2006"/>
      <c r="L283" s="2006"/>
      <c r="M283" s="2006"/>
      <c r="N283" s="2006"/>
      <c r="O283" s="2006"/>
      <c r="P283" s="2006"/>
      <c r="Q283" s="2007"/>
      <c r="R283" s="1967"/>
      <c r="S283" s="88"/>
      <c r="T283" s="88"/>
      <c r="U283" s="88"/>
      <c r="V283" s="88"/>
      <c r="W283" s="88"/>
      <c r="X283" s="89"/>
      <c r="Y283" s="89"/>
      <c r="Z283" s="89"/>
    </row>
    <row r="284" spans="1:28">
      <c r="A284" s="1960"/>
      <c r="B284" s="1999"/>
      <c r="C284" s="2000"/>
      <c r="D284" s="2001"/>
      <c r="E284" s="2021" t="s">
        <v>1536</v>
      </c>
      <c r="F284" s="2003" t="s">
        <v>1813</v>
      </c>
      <c r="G284" s="2004"/>
      <c r="H284" s="2008">
        <f>ROUND(kl(F284),Config!$C$104)</f>
        <v>4.2060000000000004</v>
      </c>
      <c r="I284" s="2006"/>
      <c r="J284" s="2006"/>
      <c r="K284" s="2006"/>
      <c r="L284" s="2006"/>
      <c r="M284" s="2006"/>
      <c r="N284" s="2006"/>
      <c r="O284" s="2006"/>
      <c r="P284" s="2006"/>
      <c r="Q284" s="2007"/>
      <c r="R284" s="1967"/>
      <c r="S284" s="88"/>
      <c r="T284" s="88"/>
      <c r="U284" s="88"/>
      <c r="V284" s="88"/>
      <c r="W284" s="88"/>
      <c r="X284" s="89"/>
      <c r="Y284" s="89"/>
      <c r="Z284" s="89"/>
    </row>
    <row r="285" spans="1:28">
      <c r="A285" s="1960"/>
      <c r="B285" s="1999"/>
      <c r="C285" s="2000"/>
      <c r="D285" s="2001"/>
      <c r="E285" s="2021" t="s">
        <v>1536</v>
      </c>
      <c r="F285" s="2003" t="s">
        <v>1808</v>
      </c>
      <c r="G285" s="2004"/>
      <c r="H285" s="2008">
        <f>ROUND(kl(F285),Config!$C$104)</f>
        <v>0.93300000000000005</v>
      </c>
      <c r="I285" s="2006"/>
      <c r="J285" s="2006"/>
      <c r="K285" s="2006"/>
      <c r="L285" s="2006"/>
      <c r="M285" s="2006"/>
      <c r="N285" s="2006"/>
      <c r="O285" s="2006"/>
      <c r="P285" s="2006"/>
      <c r="Q285" s="2007"/>
      <c r="R285" s="1967"/>
      <c r="S285" s="88"/>
      <c r="T285" s="88"/>
      <c r="U285" s="88"/>
      <c r="V285" s="88"/>
      <c r="W285" s="88"/>
      <c r="X285" s="89"/>
      <c r="Y285" s="89"/>
      <c r="Z285" s="89"/>
    </row>
    <row r="286" spans="1:28">
      <c r="A286" s="1960"/>
      <c r="B286" s="1999"/>
      <c r="C286" s="2000"/>
      <c r="D286" s="2001"/>
      <c r="E286" s="2021" t="s">
        <v>1536</v>
      </c>
      <c r="F286" s="2003" t="s">
        <v>1814</v>
      </c>
      <c r="G286" s="2004"/>
      <c r="H286" s="2008">
        <f>ROUND(kl(F286),Config!$C$104)</f>
        <v>2.1030000000000002</v>
      </c>
      <c r="I286" s="2006"/>
      <c r="J286" s="2006"/>
      <c r="K286" s="2006"/>
      <c r="L286" s="2006"/>
      <c r="M286" s="2006"/>
      <c r="N286" s="2006"/>
      <c r="O286" s="2006"/>
      <c r="P286" s="2006"/>
      <c r="Q286" s="2007"/>
      <c r="R286" s="1967"/>
      <c r="S286" s="88"/>
      <c r="T286" s="88"/>
      <c r="U286" s="88"/>
      <c r="V286" s="88"/>
      <c r="W286" s="88"/>
      <c r="X286" s="89"/>
      <c r="Y286" s="89"/>
      <c r="Z286" s="89"/>
    </row>
    <row r="287" spans="1:28">
      <c r="A287" s="1960"/>
      <c r="B287" s="1999"/>
      <c r="C287" s="2000"/>
      <c r="D287" s="2001"/>
      <c r="E287" s="2021" t="s">
        <v>1536</v>
      </c>
      <c r="F287" s="2003" t="s">
        <v>1815</v>
      </c>
      <c r="G287" s="2004"/>
      <c r="H287" s="2008">
        <f>ROUND(kl(F287),Config!$C$104)</f>
        <v>0.55649999999999999</v>
      </c>
      <c r="I287" s="2006"/>
      <c r="J287" s="2006"/>
      <c r="K287" s="2006"/>
      <c r="L287" s="2006"/>
      <c r="M287" s="2006"/>
      <c r="N287" s="2006"/>
      <c r="O287" s="2006"/>
      <c r="P287" s="2006"/>
      <c r="Q287" s="2007"/>
      <c r="R287" s="1967"/>
      <c r="S287" s="88"/>
      <c r="T287" s="88"/>
      <c r="U287" s="88"/>
      <c r="V287" s="88"/>
      <c r="W287" s="88"/>
      <c r="X287" s="89"/>
      <c r="Y287" s="89"/>
      <c r="Z287" s="89"/>
    </row>
    <row r="288" spans="1:28">
      <c r="A288" s="1960"/>
      <c r="B288" s="1999"/>
      <c r="C288" s="2000"/>
      <c r="D288" s="2001"/>
      <c r="E288" s="2021" t="s">
        <v>1536</v>
      </c>
      <c r="F288" s="2009"/>
      <c r="G288" s="2004"/>
      <c r="H288" s="2005"/>
      <c r="I288" s="2006"/>
      <c r="J288" s="2006"/>
      <c r="K288" s="2006"/>
      <c r="L288" s="2006"/>
      <c r="M288" s="2006"/>
      <c r="N288" s="2006"/>
      <c r="O288" s="2006"/>
      <c r="P288" s="2006"/>
      <c r="Q288" s="2007"/>
      <c r="R288" s="1967"/>
      <c r="S288" s="88"/>
      <c r="T288" s="88"/>
      <c r="U288" s="88"/>
      <c r="V288" s="88"/>
      <c r="W288" s="88"/>
      <c r="X288" s="89"/>
      <c r="Y288" s="89"/>
      <c r="Z288" s="89"/>
    </row>
    <row r="289" spans="1:27">
      <c r="A289" s="1961"/>
      <c r="B289" s="1996"/>
      <c r="C289" s="2010"/>
      <c r="D289" s="2011"/>
      <c r="E289" s="2022" t="s">
        <v>304</v>
      </c>
      <c r="F289" s="1977" t="str">
        <f xml:space="preserve"> "Cộng: "&amp;F215</f>
        <v>Cộng: PHẦN HOÀN THIỆN</v>
      </c>
      <c r="G289" s="1918"/>
      <c r="H289" s="1919"/>
      <c r="I289" s="1920"/>
      <c r="J289" s="1920"/>
      <c r="K289" s="1920"/>
      <c r="L289" s="1942"/>
      <c r="M289" s="1938"/>
      <c r="N289" s="1938">
        <f>SUM(N215:N288)</f>
        <v>28797294.735399995</v>
      </c>
      <c r="O289" s="1938">
        <f>SUM(O215:O288)</f>
        <v>0</v>
      </c>
      <c r="P289" s="1938">
        <f>SUM(P215:P288)</f>
        <v>35976786.107000001</v>
      </c>
      <c r="Q289" s="1972">
        <f>SUM(Q215:Q288)</f>
        <v>188035.35759999999</v>
      </c>
      <c r="R289" s="1968">
        <f ca="1">SUM(R215:R288)</f>
        <v>87757600.812437341</v>
      </c>
      <c r="S289" s="1939"/>
      <c r="T289" s="1939"/>
      <c r="U289" s="1939"/>
      <c r="V289" s="1939"/>
      <c r="W289" s="1939"/>
      <c r="X289" s="1940"/>
      <c r="Y289" s="1940"/>
      <c r="Z289" s="1941"/>
    </row>
    <row r="290" spans="1:27">
      <c r="A290" s="1961" t="s">
        <v>1642</v>
      </c>
      <c r="B290" s="1996"/>
      <c r="C290" s="1997"/>
      <c r="D290" s="1998"/>
      <c r="E290" s="2023" t="s">
        <v>1633</v>
      </c>
      <c r="F290" s="1978" t="s">
        <v>1623</v>
      </c>
      <c r="G290" s="1918"/>
      <c r="H290" s="1919"/>
      <c r="I290" s="1920"/>
      <c r="J290" s="1920"/>
      <c r="K290" s="1920"/>
      <c r="L290" s="1920"/>
      <c r="M290" s="1920"/>
      <c r="N290" s="1920"/>
      <c r="O290" s="1920"/>
      <c r="P290" s="1920"/>
      <c r="Q290" s="1971"/>
      <c r="R290" s="1921"/>
      <c r="S290" s="1922"/>
      <c r="T290" s="1922"/>
      <c r="U290" s="1922"/>
      <c r="V290" s="1922"/>
      <c r="W290" s="1922"/>
      <c r="X290" s="1923"/>
      <c r="Y290" s="1923"/>
      <c r="Z290" s="1924"/>
    </row>
    <row r="291" spans="1:27" ht="31.5">
      <c r="A291" s="2029">
        <v>96</v>
      </c>
      <c r="B291" s="2034">
        <v>1</v>
      </c>
      <c r="C291" s="2035" t="s">
        <v>1536</v>
      </c>
      <c r="D291" s="2036" t="s">
        <v>33</v>
      </c>
      <c r="E291" s="2033" t="s">
        <v>33</v>
      </c>
      <c r="F291" s="2040" t="s">
        <v>1624</v>
      </c>
      <c r="G291" s="2037" t="s">
        <v>157</v>
      </c>
      <c r="H291" s="2032">
        <f>SUM(H292:H293)</f>
        <v>6.2520000000000007</v>
      </c>
      <c r="I291" s="2072">
        <f>'Don gia XD'!M724</f>
        <v>2675000</v>
      </c>
      <c r="J291" s="2038"/>
      <c r="K291" s="2072">
        <f>'Don gia XD'!M725</f>
        <v>0</v>
      </c>
      <c r="L291" s="2072">
        <f>'Don gia XD'!M726</f>
        <v>0</v>
      </c>
      <c r="M291" s="2072">
        <f ca="1">'Don gia XD'!M737</f>
        <v>3613668.949</v>
      </c>
      <c r="N291" s="2038">
        <f>H291*I291</f>
        <v>16724100.000000002</v>
      </c>
      <c r="O291" s="2038">
        <f>H291*J291</f>
        <v>0</v>
      </c>
      <c r="P291" s="2038">
        <f>H291*K291</f>
        <v>0</v>
      </c>
      <c r="Q291" s="2039">
        <f>H291*L291</f>
        <v>0</v>
      </c>
      <c r="R291" s="2030">
        <f ca="1">H291*M291</f>
        <v>22592658.269148003</v>
      </c>
      <c r="S291" s="2031"/>
      <c r="T291" s="2031"/>
      <c r="U291" s="2031"/>
      <c r="V291" s="2031"/>
      <c r="W291" s="2031"/>
      <c r="X291" s="2032"/>
      <c r="Y291" s="2032"/>
      <c r="Z291" s="2032"/>
      <c r="AA291" s="79" t="s">
        <v>1830</v>
      </c>
    </row>
    <row r="292" spans="1:27">
      <c r="A292" s="1960"/>
      <c r="B292" s="1999"/>
      <c r="C292" s="2000"/>
      <c r="D292" s="2001"/>
      <c r="E292" s="2021" t="s">
        <v>1536</v>
      </c>
      <c r="F292" s="2003" t="s">
        <v>1816</v>
      </c>
      <c r="G292" s="2004"/>
      <c r="H292" s="2008">
        <f>ROUND(kl(F292),Config!$C$104)</f>
        <v>5.28</v>
      </c>
      <c r="I292" s="2006"/>
      <c r="J292" s="2006"/>
      <c r="K292" s="2006"/>
      <c r="L292" s="2006"/>
      <c r="M292" s="2006"/>
      <c r="N292" s="2006"/>
      <c r="O292" s="2006"/>
      <c r="P292" s="2006"/>
      <c r="Q292" s="2007"/>
      <c r="R292" s="1967"/>
      <c r="S292" s="88"/>
      <c r="T292" s="88"/>
      <c r="U292" s="88"/>
      <c r="V292" s="88"/>
      <c r="W292" s="88"/>
      <c r="X292" s="89"/>
      <c r="Y292" s="89"/>
      <c r="Z292" s="89"/>
    </row>
    <row r="293" spans="1:27">
      <c r="A293" s="1960"/>
      <c r="B293" s="1999"/>
      <c r="C293" s="2000"/>
      <c r="D293" s="2001"/>
      <c r="E293" s="2021" t="s">
        <v>1536</v>
      </c>
      <c r="F293" s="2003" t="s">
        <v>1817</v>
      </c>
      <c r="G293" s="2004"/>
      <c r="H293" s="2008">
        <f>ROUND(kl(F293),Config!$C$104)</f>
        <v>0.97199999999999998</v>
      </c>
      <c r="I293" s="2006"/>
      <c r="J293" s="2006"/>
      <c r="K293" s="2006"/>
      <c r="L293" s="2006"/>
      <c r="M293" s="2006"/>
      <c r="N293" s="2006"/>
      <c r="O293" s="2006"/>
      <c r="P293" s="2006"/>
      <c r="Q293" s="2007"/>
      <c r="R293" s="1967"/>
      <c r="S293" s="88"/>
      <c r="T293" s="88"/>
      <c r="U293" s="88"/>
      <c r="V293" s="88"/>
      <c r="W293" s="88"/>
      <c r="X293" s="89"/>
      <c r="Y293" s="89"/>
      <c r="Z293" s="89"/>
    </row>
    <row r="294" spans="1:27" ht="31.5">
      <c r="A294" s="2080">
        <v>97</v>
      </c>
      <c r="B294" s="2081">
        <v>2</v>
      </c>
      <c r="C294" s="2078" t="s">
        <v>1536</v>
      </c>
      <c r="D294" s="2082" t="s">
        <v>33</v>
      </c>
      <c r="E294" s="2083" t="s">
        <v>33</v>
      </c>
      <c r="F294" s="2089" t="s">
        <v>1625</v>
      </c>
      <c r="G294" s="2079" t="s">
        <v>157</v>
      </c>
      <c r="H294" s="2088">
        <f>SUM(H295:H295)</f>
        <v>3.96</v>
      </c>
      <c r="I294" s="2121">
        <f>'Don gia XD'!M739</f>
        <v>1351500</v>
      </c>
      <c r="J294" s="2085"/>
      <c r="K294" s="2121">
        <f>'Don gia XD'!M740</f>
        <v>0</v>
      </c>
      <c r="L294" s="2121">
        <f>'Don gia XD'!M741</f>
        <v>0</v>
      </c>
      <c r="M294" s="2121">
        <f ca="1">'Don gia XD'!M752</f>
        <v>1825747.1344200002</v>
      </c>
      <c r="N294" s="2085">
        <f>H294*I294</f>
        <v>5351940</v>
      </c>
      <c r="O294" s="2085">
        <f>H294*J294</f>
        <v>0</v>
      </c>
      <c r="P294" s="2085">
        <f>H294*K294</f>
        <v>0</v>
      </c>
      <c r="Q294" s="2086">
        <f>H294*L294</f>
        <v>0</v>
      </c>
      <c r="R294" s="2076">
        <f ca="1">H294*M294</f>
        <v>7229958.6523032011</v>
      </c>
      <c r="S294" s="2087"/>
      <c r="T294" s="2087"/>
      <c r="U294" s="2087"/>
      <c r="V294" s="2087"/>
      <c r="W294" s="2087"/>
      <c r="X294" s="2088"/>
      <c r="Y294" s="2088"/>
      <c r="Z294" s="2088"/>
      <c r="AA294" s="79" t="s">
        <v>1830</v>
      </c>
    </row>
    <row r="295" spans="1:27">
      <c r="A295" s="1960"/>
      <c r="B295" s="1999"/>
      <c r="C295" s="2000"/>
      <c r="D295" s="2001"/>
      <c r="E295" s="2021" t="s">
        <v>1536</v>
      </c>
      <c r="F295" s="2003" t="s">
        <v>1818</v>
      </c>
      <c r="G295" s="2004"/>
      <c r="H295" s="2008">
        <f>ROUND(kl(F295),Config!$C$104)</f>
        <v>3.96</v>
      </c>
      <c r="I295" s="2006"/>
      <c r="J295" s="2006"/>
      <c r="K295" s="2006"/>
      <c r="L295" s="2006"/>
      <c r="M295" s="2006"/>
      <c r="N295" s="2006"/>
      <c r="O295" s="2006"/>
      <c r="P295" s="2006"/>
      <c r="Q295" s="2007"/>
      <c r="R295" s="1967"/>
      <c r="S295" s="88"/>
      <c r="T295" s="88"/>
      <c r="U295" s="88"/>
      <c r="V295" s="88"/>
      <c r="W295" s="88"/>
      <c r="X295" s="89"/>
      <c r="Y295" s="89"/>
      <c r="Z295" s="89"/>
    </row>
    <row r="296" spans="1:27" ht="31.5">
      <c r="A296" s="2080">
        <v>98</v>
      </c>
      <c r="B296" s="2081">
        <v>3</v>
      </c>
      <c r="C296" s="2078" t="s">
        <v>1536</v>
      </c>
      <c r="D296" s="2082" t="s">
        <v>33</v>
      </c>
      <c r="E296" s="2083" t="s">
        <v>33</v>
      </c>
      <c r="F296" s="2089" t="s">
        <v>1626</v>
      </c>
      <c r="G296" s="2079" t="s">
        <v>157</v>
      </c>
      <c r="H296" s="2088">
        <f>SUM(H297:H297)</f>
        <v>10.08</v>
      </c>
      <c r="I296" s="2121">
        <f>'Don gia XD'!M754</f>
        <v>1301500</v>
      </c>
      <c r="J296" s="2085"/>
      <c r="K296" s="2121">
        <f>'Don gia XD'!M755</f>
        <v>0</v>
      </c>
      <c r="L296" s="2121">
        <f>'Don gia XD'!M756</f>
        <v>0</v>
      </c>
      <c r="M296" s="2121">
        <f ca="1">'Don gia XD'!M767</f>
        <v>1758201.9204200001</v>
      </c>
      <c r="N296" s="2085">
        <f>H296*I296</f>
        <v>13119120</v>
      </c>
      <c r="O296" s="2085">
        <f>H296*J296</f>
        <v>0</v>
      </c>
      <c r="P296" s="2085">
        <f>H296*K296</f>
        <v>0</v>
      </c>
      <c r="Q296" s="2086">
        <f>H296*L296</f>
        <v>0</v>
      </c>
      <c r="R296" s="2076">
        <f ca="1">H296*M296</f>
        <v>17722675.357833602</v>
      </c>
      <c r="S296" s="2087"/>
      <c r="T296" s="2087"/>
      <c r="U296" s="2087"/>
      <c r="V296" s="2087"/>
      <c r="W296" s="2087"/>
      <c r="X296" s="2088"/>
      <c r="Y296" s="2088"/>
      <c r="Z296" s="2088"/>
      <c r="AA296" s="79" t="s">
        <v>1830</v>
      </c>
    </row>
    <row r="297" spans="1:27">
      <c r="A297" s="1960"/>
      <c r="B297" s="1999"/>
      <c r="C297" s="2000"/>
      <c r="D297" s="2001"/>
      <c r="E297" s="2021" t="s">
        <v>1536</v>
      </c>
      <c r="F297" s="2003" t="s">
        <v>1819</v>
      </c>
      <c r="G297" s="2004"/>
      <c r="H297" s="2008">
        <f>ROUND(kl(F297),Config!$C$104)</f>
        <v>10.08</v>
      </c>
      <c r="I297" s="2006"/>
      <c r="J297" s="2006"/>
      <c r="K297" s="2006"/>
      <c r="L297" s="2006"/>
      <c r="M297" s="2006"/>
      <c r="N297" s="2006"/>
      <c r="O297" s="2006"/>
      <c r="P297" s="2006"/>
      <c r="Q297" s="2007"/>
      <c r="R297" s="1967"/>
      <c r="S297" s="88"/>
      <c r="T297" s="88"/>
      <c r="U297" s="88"/>
      <c r="V297" s="88"/>
      <c r="W297" s="88"/>
      <c r="X297" s="89"/>
      <c r="Y297" s="89"/>
      <c r="Z297" s="89"/>
    </row>
    <row r="298" spans="1:27" ht="31.5">
      <c r="A298" s="2080">
        <v>99</v>
      </c>
      <c r="B298" s="2081">
        <v>4</v>
      </c>
      <c r="C298" s="2078" t="s">
        <v>1536</v>
      </c>
      <c r="D298" s="2082" t="s">
        <v>33</v>
      </c>
      <c r="E298" s="2083" t="s">
        <v>33</v>
      </c>
      <c r="F298" s="2089" t="s">
        <v>1627</v>
      </c>
      <c r="G298" s="2079" t="s">
        <v>157</v>
      </c>
      <c r="H298" s="2088">
        <f>SUM(H299:H299)</f>
        <v>2.9159999999999999</v>
      </c>
      <c r="I298" s="2121">
        <f>'Don gia XD'!M769</f>
        <v>1201500</v>
      </c>
      <c r="J298" s="2085"/>
      <c r="K298" s="2121">
        <f>'Don gia XD'!M770</f>
        <v>0</v>
      </c>
      <c r="L298" s="2121">
        <f>'Don gia XD'!M771</f>
        <v>0</v>
      </c>
      <c r="M298" s="2121">
        <f ca="1">'Don gia XD'!M782</f>
        <v>1623111.4924200003</v>
      </c>
      <c r="N298" s="2085">
        <f>H298*I298</f>
        <v>3503574</v>
      </c>
      <c r="O298" s="2085">
        <f>H298*J298</f>
        <v>0</v>
      </c>
      <c r="P298" s="2085">
        <f>H298*K298</f>
        <v>0</v>
      </c>
      <c r="Q298" s="2086">
        <f>H298*L298</f>
        <v>0</v>
      </c>
      <c r="R298" s="2076">
        <f ca="1">H298*M298</f>
        <v>4732993.1118967207</v>
      </c>
      <c r="S298" s="2087"/>
      <c r="T298" s="2087"/>
      <c r="U298" s="2087"/>
      <c r="V298" s="2087"/>
      <c r="W298" s="2087"/>
      <c r="X298" s="2088"/>
      <c r="Y298" s="2088"/>
      <c r="Z298" s="2088"/>
      <c r="AA298" s="79" t="s">
        <v>1830</v>
      </c>
    </row>
    <row r="299" spans="1:27">
      <c r="A299" s="1960"/>
      <c r="B299" s="1999"/>
      <c r="C299" s="2000"/>
      <c r="D299" s="2001"/>
      <c r="E299" s="2021" t="s">
        <v>1536</v>
      </c>
      <c r="F299" s="2003" t="s">
        <v>1820</v>
      </c>
      <c r="G299" s="2004"/>
      <c r="H299" s="2008">
        <f>ROUND(kl(F299),Config!$C$104)</f>
        <v>2.9159999999999999</v>
      </c>
      <c r="I299" s="2006"/>
      <c r="J299" s="2006"/>
      <c r="K299" s="2006"/>
      <c r="L299" s="2006"/>
      <c r="M299" s="2006"/>
      <c r="N299" s="2006"/>
      <c r="O299" s="2006"/>
      <c r="P299" s="2006"/>
      <c r="Q299" s="2007"/>
      <c r="R299" s="1967"/>
      <c r="S299" s="88"/>
      <c r="T299" s="88"/>
      <c r="U299" s="88"/>
      <c r="V299" s="88"/>
      <c r="W299" s="88"/>
      <c r="X299" s="89"/>
      <c r="Y299" s="89"/>
      <c r="Z299" s="89"/>
    </row>
    <row r="300" spans="1:27">
      <c r="A300" s="2080">
        <v>100</v>
      </c>
      <c r="B300" s="2081">
        <v>5</v>
      </c>
      <c r="C300" s="2078" t="s">
        <v>1536</v>
      </c>
      <c r="D300" s="2082" t="s">
        <v>1569</v>
      </c>
      <c r="E300" s="2083" t="s">
        <v>1569</v>
      </c>
      <c r="F300" s="2089" t="s">
        <v>1628</v>
      </c>
      <c r="G300" s="2079" t="s">
        <v>1884</v>
      </c>
      <c r="H300" s="2088">
        <f>SUM(H301:H304)</f>
        <v>0.16769999999999999</v>
      </c>
      <c r="I300" s="2121">
        <f>'Don gia XD'!M784</f>
        <v>22656861</v>
      </c>
      <c r="J300" s="2085"/>
      <c r="K300" s="2121">
        <f>'Don gia XD'!M789</f>
        <v>4722734</v>
      </c>
      <c r="L300" s="2121">
        <f>'Don gia XD'!M791</f>
        <v>440561</v>
      </c>
      <c r="M300" s="2085">
        <f ca="1">'Don gia XD'!M806</f>
        <v>37582367.810667686</v>
      </c>
      <c r="N300" s="2085">
        <f>H300*I300</f>
        <v>3799555.5896999999</v>
      </c>
      <c r="O300" s="2085">
        <f>H300*J300</f>
        <v>0</v>
      </c>
      <c r="P300" s="2085">
        <f>H300*K300</f>
        <v>792002.49179999996</v>
      </c>
      <c r="Q300" s="2086">
        <f>H300*L300</f>
        <v>73882.079699999987</v>
      </c>
      <c r="R300" s="2076">
        <f ca="1">H300*M300</f>
        <v>6302563.0818489706</v>
      </c>
      <c r="S300" s="2087"/>
      <c r="T300" s="2087"/>
      <c r="U300" s="2087"/>
      <c r="V300" s="2087"/>
      <c r="W300" s="2087"/>
      <c r="X300" s="2088"/>
      <c r="Y300" s="2088"/>
      <c r="Z300" s="2088"/>
      <c r="AA300" s="79" t="s">
        <v>1830</v>
      </c>
    </row>
    <row r="301" spans="1:27" ht="31.5">
      <c r="A301" s="1960"/>
      <c r="B301" s="1999"/>
      <c r="C301" s="2000"/>
      <c r="D301" s="2001"/>
      <c r="E301" s="2021" t="s">
        <v>1536</v>
      </c>
      <c r="F301" s="2003" t="s">
        <v>1629</v>
      </c>
      <c r="G301" s="2004"/>
      <c r="H301" s="2005"/>
      <c r="I301" s="2006"/>
      <c r="J301" s="2006"/>
      <c r="K301" s="2006"/>
      <c r="L301" s="2006"/>
      <c r="M301" s="2006"/>
      <c r="N301" s="2006"/>
      <c r="O301" s="2006"/>
      <c r="P301" s="2006"/>
      <c r="Q301" s="2007"/>
      <c r="R301" s="1967"/>
      <c r="S301" s="88"/>
      <c r="T301" s="88"/>
      <c r="U301" s="88"/>
      <c r="V301" s="88"/>
      <c r="W301" s="88"/>
      <c r="X301" s="89"/>
      <c r="Y301" s="89"/>
      <c r="Z301" s="89"/>
    </row>
    <row r="302" spans="1:27">
      <c r="A302" s="1960"/>
      <c r="B302" s="1999"/>
      <c r="C302" s="2000"/>
      <c r="D302" s="2001"/>
      <c r="E302" s="2021" t="s">
        <v>1536</v>
      </c>
      <c r="F302" s="2003" t="s">
        <v>1821</v>
      </c>
      <c r="G302" s="2004"/>
      <c r="H302" s="2008">
        <f>ROUND(kl(F302),Config!$C$104)</f>
        <v>1.17E-2</v>
      </c>
      <c r="I302" s="2006"/>
      <c r="J302" s="2006"/>
      <c r="K302" s="2006"/>
      <c r="L302" s="2006"/>
      <c r="M302" s="2006"/>
      <c r="N302" s="2006"/>
      <c r="O302" s="2006"/>
      <c r="P302" s="2006"/>
      <c r="Q302" s="2007"/>
      <c r="R302" s="1967"/>
      <c r="S302" s="88"/>
      <c r="T302" s="88"/>
      <c r="U302" s="88"/>
      <c r="V302" s="88"/>
      <c r="W302" s="88"/>
      <c r="X302" s="89"/>
      <c r="Y302" s="89"/>
      <c r="Z302" s="89"/>
    </row>
    <row r="303" spans="1:27">
      <c r="A303" s="1960"/>
      <c r="B303" s="1999"/>
      <c r="C303" s="2000"/>
      <c r="D303" s="2001"/>
      <c r="E303" s="2021" t="s">
        <v>1536</v>
      </c>
      <c r="F303" s="2003" t="s">
        <v>1822</v>
      </c>
      <c r="G303" s="2004"/>
      <c r="H303" s="2008">
        <f>ROUND(kl(F303),Config!$C$104)</f>
        <v>0.121</v>
      </c>
      <c r="I303" s="2006"/>
      <c r="J303" s="2006"/>
      <c r="K303" s="2006"/>
      <c r="L303" s="2006"/>
      <c r="M303" s="2006"/>
      <c r="N303" s="2006"/>
      <c r="O303" s="2006"/>
      <c r="P303" s="2006"/>
      <c r="Q303" s="2007"/>
      <c r="R303" s="1967"/>
      <c r="S303" s="88"/>
      <c r="T303" s="88"/>
      <c r="U303" s="88"/>
      <c r="V303" s="88"/>
      <c r="W303" s="88"/>
      <c r="X303" s="89"/>
      <c r="Y303" s="89"/>
      <c r="Z303" s="89"/>
    </row>
    <row r="304" spans="1:27">
      <c r="A304" s="1960"/>
      <c r="B304" s="1999"/>
      <c r="C304" s="2000"/>
      <c r="D304" s="2001"/>
      <c r="E304" s="2021" t="s">
        <v>1536</v>
      </c>
      <c r="F304" s="2003" t="s">
        <v>1823</v>
      </c>
      <c r="G304" s="2004"/>
      <c r="H304" s="2008">
        <f>ROUND(kl(F304),Config!$C$104)</f>
        <v>3.5000000000000003E-2</v>
      </c>
      <c r="I304" s="2006"/>
      <c r="J304" s="2006"/>
      <c r="K304" s="2006"/>
      <c r="L304" s="2006"/>
      <c r="M304" s="2006"/>
      <c r="N304" s="2006"/>
      <c r="O304" s="2006"/>
      <c r="P304" s="2006"/>
      <c r="Q304" s="2007"/>
      <c r="R304" s="1967"/>
      <c r="S304" s="88"/>
      <c r="T304" s="88"/>
      <c r="U304" s="88"/>
      <c r="V304" s="88"/>
      <c r="W304" s="88"/>
      <c r="X304" s="89"/>
      <c r="Y304" s="89"/>
      <c r="Z304" s="89"/>
    </row>
    <row r="305" spans="1:27">
      <c r="A305" s="2080">
        <v>101</v>
      </c>
      <c r="B305" s="2081">
        <v>6</v>
      </c>
      <c r="C305" s="2078" t="s">
        <v>1992</v>
      </c>
      <c r="D305" s="2082" t="s">
        <v>1570</v>
      </c>
      <c r="E305" s="2083" t="s">
        <v>1570</v>
      </c>
      <c r="F305" s="2089" t="s">
        <v>1630</v>
      </c>
      <c r="G305" s="2079" t="s">
        <v>1961</v>
      </c>
      <c r="H305" s="2088">
        <f>SUM(H306:H308)</f>
        <v>13.968</v>
      </c>
      <c r="I305" s="2121">
        <f>'Don gia XD'!M808</f>
        <v>5993</v>
      </c>
      <c r="J305" s="2085"/>
      <c r="K305" s="2121">
        <f>'Don gia XD'!M814</f>
        <v>49609</v>
      </c>
      <c r="L305" s="2085"/>
      <c r="M305" s="2085">
        <f ca="1">'Don gia XD'!M826</f>
        <v>75112.97977655998</v>
      </c>
      <c r="N305" s="2085">
        <f>H305*I305</f>
        <v>83710.224000000002</v>
      </c>
      <c r="O305" s="2085">
        <f>H305*J305</f>
        <v>0</v>
      </c>
      <c r="P305" s="2085">
        <f>H305*K305</f>
        <v>692938.51199999999</v>
      </c>
      <c r="Q305" s="2086">
        <f>H305*L305</f>
        <v>0</v>
      </c>
      <c r="R305" s="2076">
        <f ca="1">H305*M305</f>
        <v>1049178.1015189898</v>
      </c>
      <c r="S305" s="2087"/>
      <c r="T305" s="2087"/>
      <c r="U305" s="2087"/>
      <c r="V305" s="2087"/>
      <c r="W305" s="2087"/>
      <c r="X305" s="2088"/>
      <c r="Y305" s="2088"/>
      <c r="Z305" s="2088"/>
      <c r="AA305" s="79" t="s">
        <v>1830</v>
      </c>
    </row>
    <row r="306" spans="1:27">
      <c r="A306" s="1960"/>
      <c r="B306" s="1999"/>
      <c r="C306" s="2000"/>
      <c r="D306" s="2001"/>
      <c r="E306" s="2021" t="s">
        <v>1536</v>
      </c>
      <c r="F306" s="2003" t="s">
        <v>1824</v>
      </c>
      <c r="G306" s="2004"/>
      <c r="H306" s="2008">
        <f>ROUND(kl(F306),Config!$C$104)</f>
        <v>0.97199999999999998</v>
      </c>
      <c r="I306" s="2006"/>
      <c r="J306" s="2006"/>
      <c r="K306" s="2006"/>
      <c r="L306" s="2006"/>
      <c r="M306" s="2006"/>
      <c r="N306" s="2006"/>
      <c r="O306" s="2006"/>
      <c r="P306" s="2006"/>
      <c r="Q306" s="2007"/>
      <c r="R306" s="1967"/>
      <c r="S306" s="88"/>
      <c r="T306" s="88"/>
      <c r="U306" s="88"/>
      <c r="V306" s="88"/>
      <c r="W306" s="88"/>
      <c r="X306" s="89"/>
      <c r="Y306" s="89"/>
      <c r="Z306" s="89"/>
    </row>
    <row r="307" spans="1:27">
      <c r="A307" s="1960"/>
      <c r="B307" s="1999"/>
      <c r="C307" s="2000"/>
      <c r="D307" s="2001"/>
      <c r="E307" s="2021" t="s">
        <v>1536</v>
      </c>
      <c r="F307" s="2003" t="s">
        <v>1819</v>
      </c>
      <c r="G307" s="2004"/>
      <c r="H307" s="2008">
        <f>ROUND(kl(F307),Config!$C$104)</f>
        <v>10.08</v>
      </c>
      <c r="I307" s="2006"/>
      <c r="J307" s="2006"/>
      <c r="K307" s="2006"/>
      <c r="L307" s="2006"/>
      <c r="M307" s="2006"/>
      <c r="N307" s="2006"/>
      <c r="O307" s="2006"/>
      <c r="P307" s="2006"/>
      <c r="Q307" s="2007"/>
      <c r="R307" s="1967"/>
      <c r="S307" s="88"/>
      <c r="T307" s="88"/>
      <c r="U307" s="88"/>
      <c r="V307" s="88"/>
      <c r="W307" s="88"/>
      <c r="X307" s="89"/>
      <c r="Y307" s="89"/>
      <c r="Z307" s="89"/>
    </row>
    <row r="308" spans="1:27">
      <c r="A308" s="1960"/>
      <c r="B308" s="1999"/>
      <c r="C308" s="2000"/>
      <c r="D308" s="2001"/>
      <c r="E308" s="2021" t="s">
        <v>1536</v>
      </c>
      <c r="F308" s="2003" t="s">
        <v>1820</v>
      </c>
      <c r="G308" s="2004"/>
      <c r="H308" s="2008">
        <f>ROUND(kl(F308),Config!$C$104)</f>
        <v>2.9159999999999999</v>
      </c>
      <c r="I308" s="2006"/>
      <c r="J308" s="2006"/>
      <c r="K308" s="2006"/>
      <c r="L308" s="2006"/>
      <c r="M308" s="2006"/>
      <c r="N308" s="2006"/>
      <c r="O308" s="2006"/>
      <c r="P308" s="2006"/>
      <c r="Q308" s="2007"/>
      <c r="R308" s="1967"/>
      <c r="S308" s="88"/>
      <c r="T308" s="88"/>
      <c r="U308" s="88"/>
      <c r="V308" s="88"/>
      <c r="W308" s="88"/>
      <c r="X308" s="89"/>
      <c r="Y308" s="89"/>
      <c r="Z308" s="89"/>
    </row>
    <row r="309" spans="1:27">
      <c r="A309" s="1960"/>
      <c r="B309" s="1999"/>
      <c r="C309" s="2000"/>
      <c r="D309" s="2001"/>
      <c r="E309" s="2021" t="s">
        <v>1536</v>
      </c>
      <c r="F309" s="2009"/>
      <c r="G309" s="2004"/>
      <c r="H309" s="2005"/>
      <c r="I309" s="2006"/>
      <c r="J309" s="2006"/>
      <c r="K309" s="2006"/>
      <c r="L309" s="2006"/>
      <c r="M309" s="2006"/>
      <c r="N309" s="2006"/>
      <c r="O309" s="2006"/>
      <c r="P309" s="2006"/>
      <c r="Q309" s="2007"/>
      <c r="R309" s="1967"/>
      <c r="S309" s="88"/>
      <c r="T309" s="88"/>
      <c r="U309" s="88"/>
      <c r="V309" s="88"/>
      <c r="W309" s="88"/>
      <c r="X309" s="89"/>
      <c r="Y309" s="89"/>
      <c r="Z309" s="89"/>
    </row>
    <row r="310" spans="1:27">
      <c r="A310" s="1961"/>
      <c r="B310" s="1996"/>
      <c r="C310" s="2010"/>
      <c r="D310" s="2011"/>
      <c r="E310" s="2022" t="s">
        <v>304</v>
      </c>
      <c r="F310" s="1978" t="str">
        <f xml:space="preserve"> "Cộng: "&amp;F290</f>
        <v>Cộng: HỆ CỬA</v>
      </c>
      <c r="G310" s="1918"/>
      <c r="H310" s="1919"/>
      <c r="I310" s="1920"/>
      <c r="J310" s="1920"/>
      <c r="K310" s="1920"/>
      <c r="L310" s="1942"/>
      <c r="M310" s="1938"/>
      <c r="N310" s="1938">
        <f>SUM(N290:N309)</f>
        <v>42581999.813699998</v>
      </c>
      <c r="O310" s="1938">
        <f>SUM(O290:O309)</f>
        <v>0</v>
      </c>
      <c r="P310" s="1938">
        <f>SUM(P290:P309)</f>
        <v>1484941.0038000001</v>
      </c>
      <c r="Q310" s="1972">
        <f>SUM(Q290:Q309)</f>
        <v>73882.079699999987</v>
      </c>
      <c r="R310" s="1968">
        <f ca="1">SUM(R290:R309)</f>
        <v>59630026.574549489</v>
      </c>
      <c r="S310" s="1939"/>
      <c r="T310" s="1939"/>
      <c r="U310" s="1939"/>
      <c r="V310" s="1939"/>
      <c r="W310" s="1939"/>
      <c r="X310" s="1940"/>
      <c r="Y310" s="1940"/>
      <c r="Z310" s="1941"/>
    </row>
    <row r="311" spans="1:27">
      <c r="A311" s="1961" t="s">
        <v>1644</v>
      </c>
      <c r="B311" s="1996"/>
      <c r="C311" s="1997"/>
      <c r="D311" s="1998"/>
      <c r="E311" s="2023" t="s">
        <v>1633</v>
      </c>
      <c r="F311" s="1978" t="s">
        <v>1631</v>
      </c>
      <c r="G311" s="1918"/>
      <c r="H311" s="1919"/>
      <c r="I311" s="1920"/>
      <c r="J311" s="1920"/>
      <c r="K311" s="1920"/>
      <c r="L311" s="1920"/>
      <c r="M311" s="1920"/>
      <c r="N311" s="1920"/>
      <c r="O311" s="1920"/>
      <c r="P311" s="1920"/>
      <c r="Q311" s="1971"/>
      <c r="R311" s="1921"/>
      <c r="S311" s="1922"/>
      <c r="T311" s="1922"/>
      <c r="U311" s="1922"/>
      <c r="V311" s="1922"/>
      <c r="W311" s="1922"/>
      <c r="X311" s="1923"/>
      <c r="Y311" s="1923"/>
      <c r="Z311" s="1924"/>
    </row>
    <row r="312" spans="1:27">
      <c r="A312" s="2029">
        <v>102</v>
      </c>
      <c r="B312" s="2034">
        <v>1</v>
      </c>
      <c r="C312" s="2035" t="s">
        <v>1536</v>
      </c>
      <c r="D312" s="2036" t="s">
        <v>1571</v>
      </c>
      <c r="E312" s="2033" t="s">
        <v>1571</v>
      </c>
      <c r="F312" s="2040" t="s">
        <v>2116</v>
      </c>
      <c r="G312" s="2037" t="s">
        <v>1995</v>
      </c>
      <c r="H312" s="2032">
        <v>1</v>
      </c>
      <c r="I312" s="2072">
        <f>'Don gia XD'!M829</f>
        <v>9450</v>
      </c>
      <c r="J312" s="2038"/>
      <c r="K312" s="2072">
        <f>'Don gia XD'!M832</f>
        <v>47985</v>
      </c>
      <c r="L312" s="2072">
        <f>'Don gia XD'!M834</f>
        <v>301</v>
      </c>
      <c r="M312" s="2038">
        <f ca="1">'Don gia XD'!M846</f>
        <v>77995.809510079998</v>
      </c>
      <c r="N312" s="2038">
        <f>H312*I312</f>
        <v>9450</v>
      </c>
      <c r="O312" s="2038">
        <f>H312*J312</f>
        <v>0</v>
      </c>
      <c r="P312" s="2038">
        <f>H312*K312</f>
        <v>47985</v>
      </c>
      <c r="Q312" s="2039">
        <f>H312*L312</f>
        <v>301</v>
      </c>
      <c r="R312" s="2030">
        <f ca="1">H312*M312</f>
        <v>77995.809510079998</v>
      </c>
      <c r="S312" s="2031"/>
      <c r="T312" s="2031"/>
      <c r="U312" s="2031"/>
      <c r="V312" s="2031"/>
      <c r="W312" s="2031"/>
      <c r="X312" s="2032"/>
      <c r="Y312" s="2032"/>
      <c r="Z312" s="2032"/>
      <c r="AA312" s="79" t="s">
        <v>1830</v>
      </c>
    </row>
    <row r="313" spans="1:27">
      <c r="A313" s="2141">
        <v>103</v>
      </c>
      <c r="B313" s="2142">
        <v>2</v>
      </c>
      <c r="C313" s="2143" t="s">
        <v>1536</v>
      </c>
      <c r="D313" s="2144" t="s">
        <v>1572</v>
      </c>
      <c r="E313" s="2145" t="s">
        <v>1572</v>
      </c>
      <c r="F313" s="2152" t="s">
        <v>2117</v>
      </c>
      <c r="G313" s="2146" t="s">
        <v>1955</v>
      </c>
      <c r="H313" s="2158">
        <v>1</v>
      </c>
      <c r="I313" s="2153">
        <f>'Don gia XD'!M848</f>
        <v>301920</v>
      </c>
      <c r="J313" s="2148"/>
      <c r="K313" s="2153">
        <f>'Don gia XD'!M851</f>
        <v>68550</v>
      </c>
      <c r="L313" s="2148"/>
      <c r="M313" s="2148">
        <f ca="1">'Don gia XD'!M863</f>
        <v>500469.50861160003</v>
      </c>
      <c r="N313" s="2148">
        <f>H313*I313</f>
        <v>301920</v>
      </c>
      <c r="O313" s="2148">
        <f>H313*J313</f>
        <v>0</v>
      </c>
      <c r="P313" s="2148">
        <f>H313*K313</f>
        <v>68550</v>
      </c>
      <c r="Q313" s="2149">
        <f>H313*L313</f>
        <v>0</v>
      </c>
      <c r="R313" s="2150">
        <f ca="1">H313*M313</f>
        <v>500469.50861160003</v>
      </c>
      <c r="S313" s="2151"/>
      <c r="T313" s="2151"/>
      <c r="U313" s="2151"/>
      <c r="V313" s="2151"/>
      <c r="W313" s="2151"/>
      <c r="X313" s="2147"/>
      <c r="Y313" s="2147"/>
      <c r="Z313" s="2147"/>
      <c r="AA313" s="79" t="s">
        <v>1830</v>
      </c>
    </row>
    <row r="314" spans="1:27">
      <c r="A314" s="2141">
        <v>104</v>
      </c>
      <c r="B314" s="2142">
        <v>3</v>
      </c>
      <c r="C314" s="2143" t="s">
        <v>1536</v>
      </c>
      <c r="D314" s="2144" t="s">
        <v>1573</v>
      </c>
      <c r="E314" s="2145" t="s">
        <v>1573</v>
      </c>
      <c r="F314" s="2152" t="s">
        <v>2118</v>
      </c>
      <c r="G314" s="2146" t="s">
        <v>1955</v>
      </c>
      <c r="H314" s="2158">
        <v>1</v>
      </c>
      <c r="I314" s="2153">
        <f>'Don gia XD'!M865</f>
        <v>35458</v>
      </c>
      <c r="J314" s="2148"/>
      <c r="K314" s="2153">
        <f>'Don gia XD'!M868</f>
        <v>34275</v>
      </c>
      <c r="L314" s="2148"/>
      <c r="M314" s="2148">
        <f ca="1">'Don gia XD'!M880</f>
        <v>94202.60815724</v>
      </c>
      <c r="N314" s="2148">
        <f>H314*I314</f>
        <v>35458</v>
      </c>
      <c r="O314" s="2148">
        <f>H314*J314</f>
        <v>0</v>
      </c>
      <c r="P314" s="2148">
        <f>H314*K314</f>
        <v>34275</v>
      </c>
      <c r="Q314" s="2149">
        <f>H314*L314</f>
        <v>0</v>
      </c>
      <c r="R314" s="2150">
        <f ca="1">H314*M314</f>
        <v>94202.60815724</v>
      </c>
      <c r="S314" s="2151"/>
      <c r="T314" s="2151"/>
      <c r="U314" s="2151"/>
      <c r="V314" s="2151"/>
      <c r="W314" s="2151"/>
      <c r="X314" s="2147"/>
      <c r="Y314" s="2147"/>
      <c r="Z314" s="2147"/>
      <c r="AA314" s="79" t="s">
        <v>1830</v>
      </c>
    </row>
    <row r="315" spans="1:27" ht="15.75" customHeight="1">
      <c r="A315" s="2141">
        <v>105</v>
      </c>
      <c r="B315" s="2142">
        <v>4</v>
      </c>
      <c r="C315" s="2143" t="s">
        <v>1536</v>
      </c>
      <c r="D315" s="2144" t="s">
        <v>1573</v>
      </c>
      <c r="E315" s="2145" t="s">
        <v>1573</v>
      </c>
      <c r="F315" s="2152" t="s">
        <v>2119</v>
      </c>
      <c r="G315" s="2146" t="s">
        <v>1955</v>
      </c>
      <c r="H315" s="2158">
        <v>1</v>
      </c>
      <c r="I315" s="2153">
        <f>'Don gia XD'!M882</f>
        <v>35458</v>
      </c>
      <c r="J315" s="2148"/>
      <c r="K315" s="2153">
        <f>'Don gia XD'!M885</f>
        <v>34275</v>
      </c>
      <c r="L315" s="2148"/>
      <c r="M315" s="2148">
        <f ca="1">'Don gia XD'!M897</f>
        <v>94202.60815724</v>
      </c>
      <c r="N315" s="2148">
        <f>H315*I315</f>
        <v>35458</v>
      </c>
      <c r="O315" s="2148">
        <f>H315*J315</f>
        <v>0</v>
      </c>
      <c r="P315" s="2148">
        <f>H315*K315</f>
        <v>34275</v>
      </c>
      <c r="Q315" s="2149">
        <f>H315*L315</f>
        <v>0</v>
      </c>
      <c r="R315" s="2150">
        <f ca="1">H315*M315</f>
        <v>94202.60815724</v>
      </c>
      <c r="S315" s="2151"/>
      <c r="T315" s="2151"/>
      <c r="U315" s="2151"/>
      <c r="V315" s="2151"/>
      <c r="W315" s="2151"/>
      <c r="X315" s="2147"/>
      <c r="Y315" s="2147"/>
      <c r="Z315" s="2147"/>
      <c r="AA315" s="79" t="s">
        <v>1830</v>
      </c>
    </row>
    <row r="316" spans="1:27">
      <c r="A316" s="2080">
        <v>106</v>
      </c>
      <c r="B316" s="2081">
        <v>5</v>
      </c>
      <c r="C316" s="2078" t="s">
        <v>1536</v>
      </c>
      <c r="D316" s="2082" t="s">
        <v>1574</v>
      </c>
      <c r="E316" s="2083" t="s">
        <v>1574</v>
      </c>
      <c r="F316" s="2089" t="s">
        <v>2120</v>
      </c>
      <c r="G316" s="2079" t="s">
        <v>1955</v>
      </c>
      <c r="H316" s="2140">
        <v>1</v>
      </c>
      <c r="I316" s="2121">
        <f>'Don gia XD'!M899</f>
        <v>27489</v>
      </c>
      <c r="J316" s="2085"/>
      <c r="K316" s="2121">
        <f>'Don gia XD'!M902</f>
        <v>25135</v>
      </c>
      <c r="L316" s="2085"/>
      <c r="M316" s="2085">
        <f ca="1">'Don gia XD'!M914</f>
        <v>71089.986830719994</v>
      </c>
      <c r="N316" s="2085">
        <f>H316*I316</f>
        <v>27489</v>
      </c>
      <c r="O316" s="2085">
        <f>H316*J316</f>
        <v>0</v>
      </c>
      <c r="P316" s="2085">
        <f>H316*K316</f>
        <v>25135</v>
      </c>
      <c r="Q316" s="2086">
        <f>H316*L316</f>
        <v>0</v>
      </c>
      <c r="R316" s="2076">
        <f ca="1">H316*M316</f>
        <v>71089.986830719994</v>
      </c>
      <c r="S316" s="2087"/>
      <c r="T316" s="2087"/>
      <c r="U316" s="2087"/>
      <c r="V316" s="2087"/>
      <c r="W316" s="2087"/>
      <c r="X316" s="2088"/>
      <c r="Y316" s="2088"/>
      <c r="Z316" s="2088"/>
      <c r="AA316" s="79" t="s">
        <v>1830</v>
      </c>
    </row>
    <row r="317" spans="1:27">
      <c r="A317" s="1962">
        <v>119</v>
      </c>
      <c r="B317" s="1948"/>
      <c r="C317" s="1979"/>
      <c r="D317" s="1925"/>
      <c r="E317" s="2024" t="s">
        <v>1536</v>
      </c>
      <c r="F317" s="1926" t="s">
        <v>1632</v>
      </c>
      <c r="G317" s="2004"/>
      <c r="H317" s="2005"/>
      <c r="I317" s="2006"/>
      <c r="J317" s="2006"/>
      <c r="K317" s="2006"/>
      <c r="L317" s="2006"/>
      <c r="M317" s="2006"/>
      <c r="N317" s="2006"/>
      <c r="O317" s="2006"/>
      <c r="P317" s="2006"/>
      <c r="Q317" s="2007"/>
      <c r="R317" s="1967"/>
      <c r="S317" s="88"/>
      <c r="T317" s="88"/>
      <c r="U317" s="88"/>
      <c r="V317" s="88"/>
      <c r="W317" s="88"/>
      <c r="X317" s="89"/>
      <c r="Y317" s="89"/>
      <c r="Z317" s="89"/>
    </row>
    <row r="318" spans="1:27">
      <c r="A318" s="2141">
        <v>107</v>
      </c>
      <c r="B318" s="2142">
        <v>6</v>
      </c>
      <c r="C318" s="2143" t="s">
        <v>1536</v>
      </c>
      <c r="D318" s="2144" t="s">
        <v>1575</v>
      </c>
      <c r="E318" s="2145" t="s">
        <v>1575</v>
      </c>
      <c r="F318" s="2152" t="s">
        <v>2121</v>
      </c>
      <c r="G318" s="2146" t="s">
        <v>2006</v>
      </c>
      <c r="H318" s="2158">
        <v>9</v>
      </c>
      <c r="I318" s="2153">
        <f>'Don gia XD'!M917</f>
        <v>86367</v>
      </c>
      <c r="J318" s="2148"/>
      <c r="K318" s="2153">
        <f>'Don gia XD'!M920</f>
        <v>34275</v>
      </c>
      <c r="L318" s="2148"/>
      <c r="M318" s="2148">
        <f ca="1">'Don gia XD'!M932</f>
        <v>162975.79414776</v>
      </c>
      <c r="N318" s="2148">
        <f t="shared" ref="N318:N329" si="0">H318*I318</f>
        <v>777303</v>
      </c>
      <c r="O318" s="2148">
        <f t="shared" ref="O318:O329" si="1">H318*J318</f>
        <v>0</v>
      </c>
      <c r="P318" s="2148">
        <f t="shared" ref="P318:P329" si="2">H318*K318</f>
        <v>308475</v>
      </c>
      <c r="Q318" s="2149">
        <f t="shared" ref="Q318:Q329" si="3">H318*L318</f>
        <v>0</v>
      </c>
      <c r="R318" s="2150">
        <f t="shared" ref="R318:R329" ca="1" si="4">H318*M318</f>
        <v>1466782.1473298399</v>
      </c>
      <c r="S318" s="2151"/>
      <c r="T318" s="2151"/>
      <c r="U318" s="2151"/>
      <c r="V318" s="2151"/>
      <c r="W318" s="2151"/>
      <c r="X318" s="2147"/>
      <c r="Y318" s="2147"/>
      <c r="Z318" s="2147"/>
      <c r="AA318" s="79" t="s">
        <v>1830</v>
      </c>
    </row>
    <row r="319" spans="1:27">
      <c r="A319" s="2141">
        <v>108</v>
      </c>
      <c r="B319" s="2142">
        <v>7</v>
      </c>
      <c r="C319" s="2143" t="s">
        <v>1536</v>
      </c>
      <c r="D319" s="2144" t="s">
        <v>1576</v>
      </c>
      <c r="E319" s="2145" t="s">
        <v>1576</v>
      </c>
      <c r="F319" s="2152" t="s">
        <v>2122</v>
      </c>
      <c r="G319" s="2146" t="s">
        <v>2006</v>
      </c>
      <c r="H319" s="2158">
        <v>4</v>
      </c>
      <c r="I319" s="2153">
        <f>'Don gia XD'!M934</f>
        <v>131250</v>
      </c>
      <c r="J319" s="2148"/>
      <c r="K319" s="2153">
        <f>'Don gia XD'!M938</f>
        <v>27420</v>
      </c>
      <c r="L319" s="2148"/>
      <c r="M319" s="2148">
        <f ca="1">'Don gia XD'!M950</f>
        <v>214347.98210759999</v>
      </c>
      <c r="N319" s="2148">
        <f t="shared" si="0"/>
        <v>525000</v>
      </c>
      <c r="O319" s="2148">
        <f t="shared" si="1"/>
        <v>0</v>
      </c>
      <c r="P319" s="2148">
        <f t="shared" si="2"/>
        <v>109680</v>
      </c>
      <c r="Q319" s="2149">
        <f t="shared" si="3"/>
        <v>0</v>
      </c>
      <c r="R319" s="2150">
        <f t="shared" ca="1" si="4"/>
        <v>857391.92843039997</v>
      </c>
      <c r="S319" s="2151"/>
      <c r="T319" s="2151"/>
      <c r="U319" s="2151"/>
      <c r="V319" s="2151"/>
      <c r="W319" s="2151"/>
      <c r="X319" s="2147"/>
      <c r="Y319" s="2147"/>
      <c r="Z319" s="2147"/>
      <c r="AA319" s="79" t="s">
        <v>1830</v>
      </c>
    </row>
    <row r="320" spans="1:27" ht="31.5">
      <c r="A320" s="2141">
        <v>109</v>
      </c>
      <c r="B320" s="2142">
        <v>8</v>
      </c>
      <c r="C320" s="2143" t="s">
        <v>1536</v>
      </c>
      <c r="D320" s="2144" t="s">
        <v>1577</v>
      </c>
      <c r="E320" s="2145" t="s">
        <v>1577</v>
      </c>
      <c r="F320" s="2152" t="s">
        <v>2123</v>
      </c>
      <c r="G320" s="2146" t="s">
        <v>1955</v>
      </c>
      <c r="H320" s="2147">
        <v>1</v>
      </c>
      <c r="I320" s="2153">
        <f>'Don gia XD'!M952</f>
        <v>35678</v>
      </c>
      <c r="J320" s="2148"/>
      <c r="K320" s="2153">
        <f>'Don gia XD'!M955</f>
        <v>20108</v>
      </c>
      <c r="L320" s="2148"/>
      <c r="M320" s="2148">
        <f ca="1">'Don gia XD'!M967</f>
        <v>75361.546164080006</v>
      </c>
      <c r="N320" s="2148">
        <f t="shared" si="0"/>
        <v>35678</v>
      </c>
      <c r="O320" s="2148">
        <f t="shared" si="1"/>
        <v>0</v>
      </c>
      <c r="P320" s="2148">
        <f t="shared" si="2"/>
        <v>20108</v>
      </c>
      <c r="Q320" s="2149">
        <f t="shared" si="3"/>
        <v>0</v>
      </c>
      <c r="R320" s="2150">
        <f t="shared" ca="1" si="4"/>
        <v>75361.546164080006</v>
      </c>
      <c r="S320" s="2151"/>
      <c r="T320" s="2151"/>
      <c r="U320" s="2151"/>
      <c r="V320" s="2151"/>
      <c r="W320" s="2151"/>
      <c r="X320" s="2147"/>
      <c r="Y320" s="2147"/>
      <c r="Z320" s="2147"/>
      <c r="AA320" s="79" t="s">
        <v>1830</v>
      </c>
    </row>
    <row r="321" spans="1:27" ht="31.5">
      <c r="A321" s="2141">
        <v>110</v>
      </c>
      <c r="B321" s="2142">
        <v>9</v>
      </c>
      <c r="C321" s="2143" t="s">
        <v>1536</v>
      </c>
      <c r="D321" s="2144" t="s">
        <v>1578</v>
      </c>
      <c r="E321" s="2145" t="s">
        <v>1578</v>
      </c>
      <c r="F321" s="2152" t="s">
        <v>2124</v>
      </c>
      <c r="G321" s="2146" t="s">
        <v>1955</v>
      </c>
      <c r="H321" s="2147">
        <v>1</v>
      </c>
      <c r="I321" s="2153">
        <f>'Don gia XD'!M969</f>
        <v>45225</v>
      </c>
      <c r="J321" s="2148"/>
      <c r="K321" s="2153">
        <f>'Don gia XD'!M972</f>
        <v>21936</v>
      </c>
      <c r="L321" s="2148"/>
      <c r="M321" s="2148">
        <f ca="1">'Don gia XD'!M984</f>
        <v>90728.082349079996</v>
      </c>
      <c r="N321" s="2148">
        <f t="shared" si="0"/>
        <v>45225</v>
      </c>
      <c r="O321" s="2148">
        <f t="shared" si="1"/>
        <v>0</v>
      </c>
      <c r="P321" s="2148">
        <f t="shared" si="2"/>
        <v>21936</v>
      </c>
      <c r="Q321" s="2149">
        <f t="shared" si="3"/>
        <v>0</v>
      </c>
      <c r="R321" s="2150">
        <f t="shared" ca="1" si="4"/>
        <v>90728.082349079996</v>
      </c>
      <c r="S321" s="2151"/>
      <c r="T321" s="2151"/>
      <c r="U321" s="2151"/>
      <c r="V321" s="2151"/>
      <c r="W321" s="2151"/>
      <c r="X321" s="2147"/>
      <c r="Y321" s="2147"/>
      <c r="Z321" s="2147"/>
      <c r="AA321" s="79" t="s">
        <v>1830</v>
      </c>
    </row>
    <row r="322" spans="1:27" ht="31.5">
      <c r="A322" s="2141">
        <v>111</v>
      </c>
      <c r="B322" s="2142">
        <v>10</v>
      </c>
      <c r="C322" s="2143" t="s">
        <v>1536</v>
      </c>
      <c r="D322" s="2144" t="s">
        <v>1579</v>
      </c>
      <c r="E322" s="2145" t="s">
        <v>1579</v>
      </c>
      <c r="F322" s="2152" t="s">
        <v>2125</v>
      </c>
      <c r="G322" s="2146" t="s">
        <v>1955</v>
      </c>
      <c r="H322" s="2147">
        <v>1</v>
      </c>
      <c r="I322" s="2153">
        <f>'Don gia XD'!M986</f>
        <v>64320</v>
      </c>
      <c r="J322" s="2148"/>
      <c r="K322" s="2153">
        <f>'Don gia XD'!M989</f>
        <v>23764</v>
      </c>
      <c r="L322" s="2148"/>
      <c r="M322" s="2148">
        <f ca="1">'Don gia XD'!M1001</f>
        <v>118993.05259952002</v>
      </c>
      <c r="N322" s="2148">
        <f t="shared" si="0"/>
        <v>64320</v>
      </c>
      <c r="O322" s="2148">
        <f t="shared" si="1"/>
        <v>0</v>
      </c>
      <c r="P322" s="2148">
        <f t="shared" si="2"/>
        <v>23764</v>
      </c>
      <c r="Q322" s="2149">
        <f t="shared" si="3"/>
        <v>0</v>
      </c>
      <c r="R322" s="2150">
        <f t="shared" ca="1" si="4"/>
        <v>118993.05259952002</v>
      </c>
      <c r="S322" s="2151"/>
      <c r="T322" s="2151"/>
      <c r="U322" s="2151"/>
      <c r="V322" s="2151"/>
      <c r="W322" s="2151"/>
      <c r="X322" s="2147"/>
      <c r="Y322" s="2147"/>
      <c r="Z322" s="2147"/>
      <c r="AA322" s="79" t="s">
        <v>1830</v>
      </c>
    </row>
    <row r="323" spans="1:27" ht="31.5">
      <c r="A323" s="2141">
        <v>112</v>
      </c>
      <c r="B323" s="2142">
        <v>11</v>
      </c>
      <c r="C323" s="2143" t="s">
        <v>1536</v>
      </c>
      <c r="D323" s="2144" t="s">
        <v>1580</v>
      </c>
      <c r="E323" s="2145" t="s">
        <v>1580</v>
      </c>
      <c r="F323" s="84" t="s">
        <v>2126</v>
      </c>
      <c r="G323" s="2146" t="s">
        <v>1955</v>
      </c>
      <c r="H323" s="2147">
        <v>12</v>
      </c>
      <c r="I323" s="2153">
        <f>'Don gia XD'!M1003</f>
        <v>49245</v>
      </c>
      <c r="J323" s="2148"/>
      <c r="K323" s="2153">
        <f>'Don gia XD'!M1006</f>
        <v>21936</v>
      </c>
      <c r="L323" s="2148"/>
      <c r="M323" s="2148">
        <f ca="1">'Don gia XD'!M1018</f>
        <v>96158.717554679999</v>
      </c>
      <c r="N323" s="2148">
        <f t="shared" si="0"/>
        <v>590940</v>
      </c>
      <c r="O323" s="2148">
        <f t="shared" si="1"/>
        <v>0</v>
      </c>
      <c r="P323" s="2148">
        <f t="shared" si="2"/>
        <v>263232</v>
      </c>
      <c r="Q323" s="2149">
        <f t="shared" si="3"/>
        <v>0</v>
      </c>
      <c r="R323" s="2150">
        <f t="shared" ca="1" si="4"/>
        <v>1153904.6106561599</v>
      </c>
      <c r="S323" s="2151"/>
      <c r="T323" s="2151"/>
      <c r="U323" s="2151"/>
      <c r="V323" s="2151"/>
      <c r="W323" s="2151"/>
      <c r="X323" s="2147"/>
      <c r="Y323" s="2147"/>
      <c r="Z323" s="2147"/>
      <c r="AA323" s="79" t="s">
        <v>1830</v>
      </c>
    </row>
    <row r="324" spans="1:27">
      <c r="A324" s="2141">
        <v>113</v>
      </c>
      <c r="B324" s="2142">
        <v>12</v>
      </c>
      <c r="C324" s="2143" t="s">
        <v>1536</v>
      </c>
      <c r="D324" s="2144" t="s">
        <v>1581</v>
      </c>
      <c r="E324" s="2145" t="s">
        <v>1581</v>
      </c>
      <c r="F324" s="2152" t="s">
        <v>2127</v>
      </c>
      <c r="G324" s="2146" t="s">
        <v>2021</v>
      </c>
      <c r="H324" s="2158">
        <v>10</v>
      </c>
      <c r="I324" s="2153">
        <f>'Don gia XD'!M1020</f>
        <v>19963</v>
      </c>
      <c r="J324" s="2148"/>
      <c r="K324" s="2153">
        <f>'Don gia XD'!M1023</f>
        <v>6398</v>
      </c>
      <c r="L324" s="2148"/>
      <c r="M324" s="2148">
        <f ca="1">'Don gia XD'!M1035</f>
        <v>35611.187725080003</v>
      </c>
      <c r="N324" s="2148">
        <f t="shared" si="0"/>
        <v>199630</v>
      </c>
      <c r="O324" s="2148">
        <f t="shared" si="1"/>
        <v>0</v>
      </c>
      <c r="P324" s="2148">
        <f t="shared" si="2"/>
        <v>63980</v>
      </c>
      <c r="Q324" s="2149">
        <f t="shared" si="3"/>
        <v>0</v>
      </c>
      <c r="R324" s="2150">
        <f t="shared" ca="1" si="4"/>
        <v>356111.87725080003</v>
      </c>
      <c r="S324" s="2151"/>
      <c r="T324" s="2151"/>
      <c r="U324" s="2151"/>
      <c r="V324" s="2151"/>
      <c r="W324" s="2151"/>
      <c r="X324" s="2147"/>
      <c r="Y324" s="2147"/>
      <c r="Z324" s="2147"/>
      <c r="AA324" s="79" t="s">
        <v>1830</v>
      </c>
    </row>
    <row r="325" spans="1:27">
      <c r="A325" s="2141">
        <v>114</v>
      </c>
      <c r="B325" s="2142">
        <v>13</v>
      </c>
      <c r="C325" s="2143" t="s">
        <v>1536</v>
      </c>
      <c r="D325" s="2144" t="s">
        <v>1582</v>
      </c>
      <c r="E325" s="2145" t="s">
        <v>1582</v>
      </c>
      <c r="F325" s="2152" t="s">
        <v>2128</v>
      </c>
      <c r="G325" s="2146" t="s">
        <v>2021</v>
      </c>
      <c r="H325" s="2147">
        <v>10</v>
      </c>
      <c r="I325" s="2153">
        <f>'Don gia XD'!M1037</f>
        <v>19009</v>
      </c>
      <c r="J325" s="2148"/>
      <c r="K325" s="2153">
        <f>'Don gia XD'!M1040</f>
        <v>6170</v>
      </c>
      <c r="L325" s="2148"/>
      <c r="M325" s="2148">
        <f ca="1">'Don gia XD'!M1052</f>
        <v>34014.418866119995</v>
      </c>
      <c r="N325" s="2148">
        <f t="shared" si="0"/>
        <v>190090</v>
      </c>
      <c r="O325" s="2148">
        <f t="shared" si="1"/>
        <v>0</v>
      </c>
      <c r="P325" s="2148">
        <f t="shared" si="2"/>
        <v>61700</v>
      </c>
      <c r="Q325" s="2149">
        <f t="shared" si="3"/>
        <v>0</v>
      </c>
      <c r="R325" s="2150">
        <f t="shared" ca="1" si="4"/>
        <v>340144.18866119994</v>
      </c>
      <c r="S325" s="2151"/>
      <c r="T325" s="2151"/>
      <c r="U325" s="2151"/>
      <c r="V325" s="2151"/>
      <c r="W325" s="2151"/>
      <c r="X325" s="2147"/>
      <c r="Y325" s="2147"/>
      <c r="Z325" s="2147"/>
      <c r="AA325" s="79" t="s">
        <v>1830</v>
      </c>
    </row>
    <row r="326" spans="1:27">
      <c r="A326" s="2141">
        <v>115</v>
      </c>
      <c r="B326" s="2142">
        <v>14</v>
      </c>
      <c r="C326" s="2143" t="s">
        <v>1536</v>
      </c>
      <c r="D326" s="2144" t="s">
        <v>1583</v>
      </c>
      <c r="E326" s="2145" t="s">
        <v>1583</v>
      </c>
      <c r="F326" s="2152" t="s">
        <v>2129</v>
      </c>
      <c r="G326" s="2146" t="s">
        <v>2021</v>
      </c>
      <c r="H326" s="2158">
        <v>140</v>
      </c>
      <c r="I326" s="2153">
        <f>'Don gia XD'!M1054</f>
        <v>8350</v>
      </c>
      <c r="J326" s="2148"/>
      <c r="K326" s="2153">
        <f>'Don gia XD'!M1057</f>
        <v>5484</v>
      </c>
      <c r="L326" s="2148"/>
      <c r="M326" s="2148">
        <f ca="1">'Don gia XD'!M1069</f>
        <v>18688.409809520002</v>
      </c>
      <c r="N326" s="2148">
        <f t="shared" si="0"/>
        <v>1169000</v>
      </c>
      <c r="O326" s="2148">
        <f t="shared" si="1"/>
        <v>0</v>
      </c>
      <c r="P326" s="2148">
        <f t="shared" si="2"/>
        <v>767760</v>
      </c>
      <c r="Q326" s="2149">
        <f t="shared" si="3"/>
        <v>0</v>
      </c>
      <c r="R326" s="2150">
        <f t="shared" ca="1" si="4"/>
        <v>2616377.3733328003</v>
      </c>
      <c r="S326" s="2151"/>
      <c r="T326" s="2151"/>
      <c r="U326" s="2151"/>
      <c r="V326" s="2151"/>
      <c r="W326" s="2151"/>
      <c r="X326" s="2147"/>
      <c r="Y326" s="2147"/>
      <c r="Z326" s="2147"/>
      <c r="AA326" s="79" t="s">
        <v>1830</v>
      </c>
    </row>
    <row r="327" spans="1:27">
      <c r="A327" s="2141">
        <v>116</v>
      </c>
      <c r="B327" s="2142">
        <v>15</v>
      </c>
      <c r="C327" s="2143" t="s">
        <v>1536</v>
      </c>
      <c r="D327" s="2144" t="s">
        <v>1583</v>
      </c>
      <c r="E327" s="2145" t="s">
        <v>1583</v>
      </c>
      <c r="F327" s="2152" t="s">
        <v>2130</v>
      </c>
      <c r="G327" s="2146" t="s">
        <v>2021</v>
      </c>
      <c r="H327" s="2158">
        <v>105</v>
      </c>
      <c r="I327" s="2153">
        <f>'Don gia XD'!M1071</f>
        <v>8350</v>
      </c>
      <c r="J327" s="2148"/>
      <c r="K327" s="2153">
        <f>'Don gia XD'!M1074</f>
        <v>5484</v>
      </c>
      <c r="L327" s="2148"/>
      <c r="M327" s="2148">
        <f ca="1">'Don gia XD'!M1086</f>
        <v>18688.409809520002</v>
      </c>
      <c r="N327" s="2148">
        <f t="shared" si="0"/>
        <v>876750</v>
      </c>
      <c r="O327" s="2148">
        <f t="shared" si="1"/>
        <v>0</v>
      </c>
      <c r="P327" s="2148">
        <f t="shared" si="2"/>
        <v>575820</v>
      </c>
      <c r="Q327" s="2149">
        <f t="shared" si="3"/>
        <v>0</v>
      </c>
      <c r="R327" s="2150">
        <f t="shared" ca="1" si="4"/>
        <v>1962283.0299996003</v>
      </c>
      <c r="S327" s="2151"/>
      <c r="T327" s="2151"/>
      <c r="U327" s="2151"/>
      <c r="V327" s="2151"/>
      <c r="W327" s="2151"/>
      <c r="X327" s="2147"/>
      <c r="Y327" s="2147"/>
      <c r="Z327" s="2147"/>
      <c r="AA327" s="79" t="s">
        <v>1830</v>
      </c>
    </row>
    <row r="328" spans="1:27" ht="31.5">
      <c r="A328" s="2141">
        <v>117</v>
      </c>
      <c r="B328" s="2142">
        <v>16</v>
      </c>
      <c r="C328" s="2143" t="s">
        <v>1536</v>
      </c>
      <c r="D328" s="2144" t="s">
        <v>1583</v>
      </c>
      <c r="E328" s="2145" t="s">
        <v>1583</v>
      </c>
      <c r="F328" s="2152" t="s">
        <v>2131</v>
      </c>
      <c r="G328" s="2146" t="s">
        <v>2021</v>
      </c>
      <c r="H328" s="2147">
        <v>70</v>
      </c>
      <c r="I328" s="2153">
        <f>'Don gia XD'!M1088</f>
        <v>8350</v>
      </c>
      <c r="J328" s="2148"/>
      <c r="K328" s="2153">
        <f>'Don gia XD'!M1091</f>
        <v>5484</v>
      </c>
      <c r="L328" s="2148"/>
      <c r="M328" s="2148">
        <f ca="1">'Don gia XD'!M1103</f>
        <v>18688.409809520002</v>
      </c>
      <c r="N328" s="2148">
        <f t="shared" si="0"/>
        <v>584500</v>
      </c>
      <c r="O328" s="2148">
        <f t="shared" si="1"/>
        <v>0</v>
      </c>
      <c r="P328" s="2148">
        <f t="shared" si="2"/>
        <v>383880</v>
      </c>
      <c r="Q328" s="2149">
        <f t="shared" si="3"/>
        <v>0</v>
      </c>
      <c r="R328" s="2150">
        <f t="shared" ca="1" si="4"/>
        <v>1308188.6866664002</v>
      </c>
      <c r="S328" s="2151"/>
      <c r="T328" s="2151"/>
      <c r="U328" s="2151"/>
      <c r="V328" s="2151"/>
      <c r="W328" s="2151"/>
      <c r="X328" s="2147"/>
      <c r="Y328" s="2147"/>
      <c r="Z328" s="2147"/>
      <c r="AA328" s="79" t="s">
        <v>1830</v>
      </c>
    </row>
    <row r="329" spans="1:27">
      <c r="A329" s="2080">
        <v>118</v>
      </c>
      <c r="B329" s="2081">
        <v>17</v>
      </c>
      <c r="C329" s="2078" t="s">
        <v>1536</v>
      </c>
      <c r="D329" s="2082" t="s">
        <v>1584</v>
      </c>
      <c r="E329" s="2083" t="s">
        <v>1584</v>
      </c>
      <c r="F329" s="2089" t="s">
        <v>2132</v>
      </c>
      <c r="G329" s="2079" t="s">
        <v>2021</v>
      </c>
      <c r="H329" s="2140">
        <v>61</v>
      </c>
      <c r="I329" s="2121">
        <f>'Don gia XD'!M1105</f>
        <v>9491</v>
      </c>
      <c r="J329" s="2085"/>
      <c r="K329" s="2121">
        <f>'Don gia XD'!M1108</f>
        <v>34275</v>
      </c>
      <c r="L329" s="2121">
        <f>'Don gia XD'!M1110</f>
        <v>151</v>
      </c>
      <c r="M329" s="2085">
        <f ca="1">'Don gia XD'!M1122</f>
        <v>59327.663264760005</v>
      </c>
      <c r="N329" s="2085">
        <f t="shared" si="0"/>
        <v>578951</v>
      </c>
      <c r="O329" s="2085">
        <f t="shared" si="1"/>
        <v>0</v>
      </c>
      <c r="P329" s="2085">
        <f t="shared" si="2"/>
        <v>2090775</v>
      </c>
      <c r="Q329" s="2086">
        <f t="shared" si="3"/>
        <v>9211</v>
      </c>
      <c r="R329" s="2076">
        <f t="shared" ca="1" si="4"/>
        <v>3618987.4591503604</v>
      </c>
      <c r="S329" s="2087"/>
      <c r="T329" s="2087"/>
      <c r="U329" s="2087"/>
      <c r="V329" s="2087"/>
      <c r="W329" s="2087"/>
      <c r="X329" s="2088"/>
      <c r="Y329" s="2088"/>
      <c r="Z329" s="2088"/>
      <c r="AA329" s="79" t="s">
        <v>1830</v>
      </c>
    </row>
    <row r="330" spans="1:27">
      <c r="A330" s="1960"/>
      <c r="B330" s="1999"/>
      <c r="C330" s="2000"/>
      <c r="D330" s="2001"/>
      <c r="E330" s="2002" t="s">
        <v>1536</v>
      </c>
      <c r="F330" s="2009"/>
      <c r="G330" s="2004"/>
      <c r="H330" s="2005"/>
      <c r="I330" s="2006"/>
      <c r="J330" s="2006"/>
      <c r="K330" s="2006"/>
      <c r="L330" s="2006"/>
      <c r="M330" s="2006"/>
      <c r="N330" s="2006"/>
      <c r="O330" s="2006"/>
      <c r="P330" s="2006"/>
      <c r="Q330" s="2007"/>
      <c r="R330" s="1967"/>
      <c r="S330" s="88"/>
      <c r="T330" s="88"/>
      <c r="U330" s="88"/>
      <c r="V330" s="88"/>
      <c r="W330" s="88"/>
      <c r="X330" s="89"/>
      <c r="Y330" s="89"/>
      <c r="Z330" s="89"/>
    </row>
    <row r="331" spans="1:27">
      <c r="A331" s="1963"/>
      <c r="B331" s="2013"/>
      <c r="C331" s="2014"/>
      <c r="D331" s="2015"/>
      <c r="E331" s="1975" t="s">
        <v>304</v>
      </c>
      <c r="F331" s="1978" t="str">
        <f xml:space="preserve"> "Cộng: "&amp;F311</f>
        <v>Cộng: PHẦN ĐIỆN</v>
      </c>
      <c r="G331" s="1928"/>
      <c r="H331" s="1929"/>
      <c r="I331" s="1930"/>
      <c r="J331" s="1930"/>
      <c r="K331" s="1930"/>
      <c r="L331" s="1947"/>
      <c r="M331" s="1943"/>
      <c r="N331" s="1943">
        <f>SUM(N311:N330)</f>
        <v>6047162</v>
      </c>
      <c r="O331" s="1943">
        <f>SUM(O311:O330)</f>
        <v>0</v>
      </c>
      <c r="P331" s="1943">
        <f>SUM(P311:P330)</f>
        <v>4901330</v>
      </c>
      <c r="Q331" s="1973">
        <f>SUM(Q311:Q330)</f>
        <v>9512</v>
      </c>
      <c r="R331" s="1969">
        <f ca="1">SUM(R311:R330)</f>
        <v>14803214.503857123</v>
      </c>
      <c r="S331" s="1944"/>
      <c r="T331" s="1945"/>
      <c r="U331" s="1945"/>
      <c r="V331" s="1945"/>
      <c r="W331" s="1945"/>
      <c r="X331" s="1945"/>
      <c r="Y331" s="1945"/>
      <c r="Z331" s="1946"/>
    </row>
    <row r="332" spans="1:27">
      <c r="A332" s="1964">
        <f>MAX(A8:A331)</f>
        <v>119</v>
      </c>
      <c r="B332" s="2016"/>
      <c r="C332" s="2017"/>
      <c r="D332" s="2018"/>
      <c r="E332" s="1976" t="s">
        <v>304</v>
      </c>
      <c r="F332" s="1916" t="s">
        <v>232</v>
      </c>
      <c r="G332" s="2019"/>
      <c r="H332" s="874"/>
      <c r="I332" s="2020"/>
      <c r="J332" s="2020"/>
      <c r="K332" s="2020"/>
      <c r="L332" s="2020"/>
      <c r="M332" s="2020"/>
      <c r="N332" s="1927">
        <f>N64+N103+N171+N206+N214+N289+N310+N331</f>
        <v>197272425.49319997</v>
      </c>
      <c r="O332" s="1927">
        <f>O64+O103+O171+O206+O214+O289+O310+O331</f>
        <v>0</v>
      </c>
      <c r="P332" s="1927">
        <f>P64+P103+P171+P206+P214+P289+P310+P331</f>
        <v>98192068.176331997</v>
      </c>
      <c r="Q332" s="1927">
        <f>Q64+Q103+Q171+Q206+Q214+Q289+Q310+Q331</f>
        <v>1479323.0494744</v>
      </c>
      <c r="R332" s="1970">
        <f ca="1">R64+R103+R171+R206+R214+R289+R310+R331</f>
        <v>401142672.92524141</v>
      </c>
      <c r="S332" s="874"/>
      <c r="T332" s="90"/>
      <c r="U332" s="90"/>
      <c r="V332" s="90"/>
      <c r="W332" s="90"/>
      <c r="X332" s="90"/>
      <c r="Y332" s="90"/>
      <c r="Z332" s="91"/>
    </row>
    <row r="333" spans="1:27">
      <c r="N333" s="532" t="s">
        <v>97</v>
      </c>
      <c r="O333" s="532" t="s">
        <v>191</v>
      </c>
      <c r="P333" s="532" t="s">
        <v>195</v>
      </c>
      <c r="Q333" s="532" t="s">
        <v>101</v>
      </c>
      <c r="R333" s="532"/>
    </row>
    <row r="344" spans="6:6">
      <c r="F344" s="84">
        <v>0</v>
      </c>
    </row>
    <row r="345" spans="6:6">
      <c r="F345" s="84">
        <v>0</v>
      </c>
    </row>
    <row r="346" spans="6:6">
      <c r="F346" s="84">
        <v>0</v>
      </c>
    </row>
    <row r="347" spans="6:6">
      <c r="F347" s="84">
        <v>0</v>
      </c>
    </row>
    <row r="348" spans="6:6">
      <c r="F348" s="84">
        <v>0</v>
      </c>
    </row>
    <row r="349" spans="6:6">
      <c r="F349" s="84">
        <v>0</v>
      </c>
    </row>
    <row r="350" spans="6:6">
      <c r="F350" s="84">
        <v>0</v>
      </c>
    </row>
    <row r="351" spans="6:6">
      <c r="F351" s="84">
        <v>0</v>
      </c>
    </row>
    <row r="352" spans="6:6">
      <c r="F352" s="84">
        <v>0</v>
      </c>
    </row>
    <row r="353" spans="6:6">
      <c r="F353" s="84">
        <v>0</v>
      </c>
    </row>
    <row r="354" spans="6:6">
      <c r="F354" s="84">
        <v>0</v>
      </c>
    </row>
    <row r="355" spans="6:6">
      <c r="F355" s="84">
        <v>0</v>
      </c>
    </row>
    <row r="356" spans="6:6">
      <c r="F356" s="84">
        <v>0</v>
      </c>
    </row>
  </sheetData>
  <mergeCells count="15">
    <mergeCell ref="A5:A6"/>
    <mergeCell ref="Z5:Z6"/>
    <mergeCell ref="B5:B6"/>
    <mergeCell ref="F5:F6"/>
    <mergeCell ref="G5:G6"/>
    <mergeCell ref="S5:S6"/>
    <mergeCell ref="W5:W6"/>
    <mergeCell ref="E5:E6"/>
    <mergeCell ref="H5:H6"/>
    <mergeCell ref="D5:D6"/>
    <mergeCell ref="C5:C6"/>
    <mergeCell ref="X5:X6"/>
    <mergeCell ref="Y5:Y6"/>
    <mergeCell ref="M5:M6"/>
    <mergeCell ref="R5:R6"/>
  </mergeCells>
  <phoneticPr fontId="60" type="noConversion"/>
  <conditionalFormatting sqref="AA7:AA331">
    <cfRule type="cellIs" dxfId="19" priority="13" stopIfTrue="1" operator="notEqual">
      <formula>I7</formula>
    </cfRule>
  </conditionalFormatting>
  <conditionalFormatting sqref="AA7">
    <cfRule type="cellIs" dxfId="18" priority="11" stopIfTrue="1" operator="notEqual">
      <formula>I7</formula>
    </cfRule>
  </conditionalFormatting>
  <conditionalFormatting sqref="AA7">
    <cfRule type="cellIs" dxfId="17" priority="10" stopIfTrue="1" operator="notEqual">
      <formula>I7</formula>
    </cfRule>
  </conditionalFormatting>
  <conditionalFormatting sqref="Y8:AA330">
    <cfRule type="cellIs" dxfId="16" priority="7" stopIfTrue="1" operator="notEqual">
      <formula>I8</formula>
    </cfRule>
  </conditionalFormatting>
  <conditionalFormatting sqref="AB267">
    <cfRule type="cellIs" dxfId="15" priority="4" stopIfTrue="1" operator="notEqual">
      <formula>J267</formula>
    </cfRule>
  </conditionalFormatting>
  <conditionalFormatting sqref="AB267">
    <cfRule type="cellIs" dxfId="14" priority="3" stopIfTrue="1" operator="notEqual">
      <formula>L267</formula>
    </cfRule>
  </conditionalFormatting>
  <conditionalFormatting sqref="AB275">
    <cfRule type="cellIs" dxfId="13" priority="2" stopIfTrue="1" operator="notEqual">
      <formula>J275</formula>
    </cfRule>
  </conditionalFormatting>
  <conditionalFormatting sqref="AB275">
    <cfRule type="cellIs" dxfId="12" priority="1" stopIfTrue="1" operator="notEqual">
      <formula>L275</formula>
    </cfRule>
  </conditionalFormatting>
  <dataValidations count="1">
    <dataValidation allowBlank="1" showInputMessage="1" showErrorMessage="1" prompt="GXD 10.13 Cập nhật 07/05/2024" sqref="B1"/>
  </dataValidations>
  <hyperlinks>
    <hyperlink ref="AA1" location="'Du toan XD'!AS7" tooltip="Click vào đây để chuyển sang bảng so sánh khi thẩm tra/ thẩm định" display="&gt;&gt;&gt;&gt;&gt;"/>
  </hyperlinks>
  <printOptions horizontalCentered="1"/>
  <pageMargins left="0.59055118110236227" right="0.19685039370078741" top="0.59055118110236227" bottom="0.59055118110236227" header="0.23622047244094491" footer="0.23622047244094491"/>
  <pageSetup paperSize="9" scale="88" fitToHeight="0" orientation="landscape" blackAndWhite="1" horizontalDpi="300" verticalDpi="300" r:id="rId1"/>
  <headerFooter>
    <oddFooter>&amp;C&amp;P</oddFooter>
  </headerFooter>
  <ignoredErrors>
    <ignoredError sqref="B2:B3" unlockedFormula="1"/>
  </ignoredErrors>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GCTXD">
    <tabColor rgb="FFFFFF00"/>
  </sheetPr>
  <dimension ref="A1:S1386"/>
  <sheetViews>
    <sheetView showZeros="0" topLeftCell="B707" zoomScaleSheetLayoutView="100" workbookViewId="0">
      <selection activeCell="M770" sqref="M770"/>
    </sheetView>
  </sheetViews>
  <sheetFormatPr defaultColWidth="9" defaultRowHeight="15.75"/>
  <cols>
    <col min="1" max="1" width="7.85546875" style="25" hidden="1" customWidth="1"/>
    <col min="2" max="2" width="5.42578125" style="25" customWidth="1"/>
    <col min="3" max="3" width="6.42578125" style="25" hidden="1" customWidth="1"/>
    <col min="4" max="4" width="9.5703125" style="25" hidden="1" customWidth="1"/>
    <col min="5" max="5" width="12.42578125" style="807" customWidth="1"/>
    <col min="6" max="6" width="13.5703125" style="180" customWidth="1"/>
    <col min="7" max="7" width="29.140625" style="1" customWidth="1"/>
    <col min="8" max="8" width="6.42578125" style="97" customWidth="1"/>
    <col min="9" max="9" width="9.42578125" style="524" hidden="1" customWidth="1"/>
    <col min="10" max="10" width="11.5703125" style="17" customWidth="1"/>
    <col min="11" max="11" width="10.42578125" style="184" customWidth="1"/>
    <col min="12" max="12" width="4.5703125" style="17" customWidth="1"/>
    <col min="13" max="13" width="11.42578125" style="184" customWidth="1"/>
    <col min="14" max="14" width="11" style="158" hidden="1" customWidth="1"/>
    <col min="15" max="15" width="8" style="158" hidden="1" customWidth="1"/>
    <col min="16" max="19" width="11.42578125" style="17" customWidth="1"/>
    <col min="20" max="16384" width="9" style="17"/>
  </cols>
  <sheetData>
    <row r="1" spans="1:19" ht="27.95" customHeight="1">
      <c r="A1" s="257"/>
      <c r="B1" s="1325" t="s">
        <v>140</v>
      </c>
      <c r="C1" s="2"/>
      <c r="D1" s="2"/>
      <c r="E1" s="805"/>
      <c r="F1" s="92"/>
      <c r="G1" s="92"/>
      <c r="H1" s="92"/>
      <c r="I1" s="522"/>
      <c r="J1" s="101"/>
      <c r="K1" s="171"/>
      <c r="L1" s="101"/>
      <c r="M1" s="171"/>
    </row>
    <row r="2" spans="1:19" ht="22.15" customHeight="1">
      <c r="A2" s="3"/>
      <c r="B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1019"/>
      <c r="D2" s="1019"/>
      <c r="E2" s="806"/>
      <c r="F2" s="94"/>
      <c r="G2" s="94"/>
      <c r="H2" s="94"/>
      <c r="I2" s="523"/>
      <c r="J2" s="6"/>
      <c r="K2" s="48"/>
      <c r="L2" s="6"/>
      <c r="M2" s="48"/>
    </row>
    <row r="3" spans="1:19" ht="22.15" customHeight="1">
      <c r="A3" s="3"/>
      <c r="B3" s="1019" t="str">
        <f>'Bia-Dutoan'!D43&amp;'Bia-Dutoan'!E43</f>
        <v>CÔNG TRÌNH: NHÀ 01 TẦNG, TƯỜNG CHỊU LỰC 110MM, MÁI LỢP FIBRÔXIMĂNG, KHÔNG CÓ KHU VỆ SINH KHÉP KÍN</v>
      </c>
      <c r="C3" s="1019"/>
      <c r="D3" s="1019"/>
      <c r="E3" s="806"/>
      <c r="F3" s="94"/>
      <c r="G3" s="94"/>
      <c r="H3" s="94"/>
      <c r="I3" s="523"/>
      <c r="J3" s="6"/>
      <c r="K3" s="48"/>
      <c r="L3" s="6"/>
      <c r="M3" s="48"/>
    </row>
    <row r="4" spans="1:19">
      <c r="A4" s="17"/>
      <c r="B4" s="17"/>
      <c r="C4" s="17"/>
      <c r="D4" s="17"/>
      <c r="M4" s="162" t="s">
        <v>310</v>
      </c>
    </row>
    <row r="5" spans="1:19" ht="48" customHeight="1">
      <c r="A5" s="57" t="s">
        <v>390</v>
      </c>
      <c r="B5" s="1020" t="s">
        <v>196</v>
      </c>
      <c r="C5" s="1021" t="s">
        <v>145</v>
      </c>
      <c r="D5" s="1021" t="s">
        <v>187</v>
      </c>
      <c r="E5" s="1021" t="s">
        <v>188</v>
      </c>
      <c r="F5" s="1021" t="s">
        <v>135</v>
      </c>
      <c r="G5" s="1022" t="s">
        <v>190</v>
      </c>
      <c r="H5" s="1022" t="s">
        <v>122</v>
      </c>
      <c r="I5" s="1023" t="s">
        <v>136</v>
      </c>
      <c r="J5" s="1022" t="s">
        <v>189</v>
      </c>
      <c r="K5" s="1024" t="s">
        <v>625</v>
      </c>
      <c r="L5" s="1022" t="s">
        <v>127</v>
      </c>
      <c r="M5" s="1024" t="s">
        <v>124</v>
      </c>
      <c r="N5" s="1024" t="s">
        <v>137</v>
      </c>
      <c r="O5" s="1024" t="s">
        <v>18</v>
      </c>
      <c r="P5" s="1024" t="s">
        <v>1037</v>
      </c>
      <c r="Q5" s="1024" t="s">
        <v>1038</v>
      </c>
      <c r="R5" s="1024" t="s">
        <v>777</v>
      </c>
      <c r="S5" s="1024" t="s">
        <v>1039</v>
      </c>
    </row>
    <row r="6" spans="1:19" s="474" customFormat="1" ht="15">
      <c r="A6" s="625"/>
      <c r="B6" s="521" t="s">
        <v>273</v>
      </c>
      <c r="C6" s="521"/>
      <c r="D6" s="521"/>
      <c r="E6" s="808" t="s">
        <v>276</v>
      </c>
      <c r="F6" s="625" t="s">
        <v>277</v>
      </c>
      <c r="G6" s="625" t="s">
        <v>278</v>
      </c>
      <c r="H6" s="625" t="s">
        <v>279</v>
      </c>
      <c r="I6" s="625" t="s">
        <v>280</v>
      </c>
      <c r="J6" s="521" t="s">
        <v>282</v>
      </c>
      <c r="K6" s="742" t="s">
        <v>283</v>
      </c>
      <c r="L6" s="521" t="s">
        <v>288</v>
      </c>
      <c r="M6" s="742" t="s">
        <v>292</v>
      </c>
      <c r="N6" s="535" t="s">
        <v>293</v>
      </c>
      <c r="O6" s="535" t="s">
        <v>294</v>
      </c>
      <c r="P6" s="535" t="s">
        <v>295</v>
      </c>
      <c r="Q6" s="535" t="s">
        <v>1040</v>
      </c>
      <c r="R6" s="535" t="s">
        <v>296</v>
      </c>
      <c r="S6" s="535" t="s">
        <v>297</v>
      </c>
    </row>
    <row r="7" spans="1:19" s="474" customFormat="1" ht="15">
      <c r="A7" s="2026" t="str">
        <f>'Du toan XD'!A9</f>
        <v>HM1</v>
      </c>
      <c r="B7" s="1490" t="str">
        <f>'Du toan XD'!E9</f>
        <v>HM</v>
      </c>
      <c r="C7" s="1490"/>
      <c r="D7" s="1490"/>
      <c r="E7" s="2027"/>
      <c r="F7" s="2027"/>
      <c r="G7" s="2027" t="str">
        <f>'Du toan XD'!F9</f>
        <v>CÔNG TÁC ĐẤT</v>
      </c>
      <c r="H7" s="2041"/>
      <c r="I7" s="2041"/>
      <c r="J7" s="1949"/>
      <c r="K7" s="1950"/>
      <c r="L7" s="1949"/>
      <c r="M7" s="1951"/>
      <c r="N7" s="2025"/>
      <c r="O7" s="2025"/>
      <c r="P7" s="2025"/>
      <c r="Q7" s="2025"/>
      <c r="R7" s="2025"/>
      <c r="S7" s="2025"/>
    </row>
    <row r="8" spans="1:19" s="474" customFormat="1" ht="45">
      <c r="A8" s="2042">
        <v>61</v>
      </c>
      <c r="B8" s="2043">
        <f>'Du toan XD'!B10</f>
        <v>1</v>
      </c>
      <c r="C8" s="2043"/>
      <c r="D8" s="2043" t="s">
        <v>1535</v>
      </c>
      <c r="E8" s="2044" t="s">
        <v>1535</v>
      </c>
      <c r="F8" s="2044"/>
      <c r="G8" s="2045" t="str">
        <f>'Du toan XD'!F10</f>
        <v>Đào móng công trình, chiều rộng móng ≤6m, bằng máy đào 0,8m3, đất cấp II</v>
      </c>
      <c r="H8" s="2044" t="str">
        <f>'Du toan XD'!G10</f>
        <v>100m³</v>
      </c>
      <c r="I8" s="2044">
        <f>'Du toan XD'!H10</f>
        <v>0.32319999999999999</v>
      </c>
      <c r="J8" s="2046"/>
      <c r="K8" s="2047"/>
      <c r="L8" s="2046"/>
      <c r="M8" s="2047"/>
      <c r="N8" s="2048"/>
      <c r="O8" s="2049"/>
      <c r="P8" s="1952"/>
      <c r="Q8" s="2025"/>
      <c r="R8" s="2025">
        <f>M9</f>
        <v>794038</v>
      </c>
      <c r="S8" s="2025">
        <f>M11</f>
        <v>833223</v>
      </c>
    </row>
    <row r="9" spans="1:19" s="474" customFormat="1" ht="15">
      <c r="A9" s="2050"/>
      <c r="B9" s="2051"/>
      <c r="C9" s="2051"/>
      <c r="D9" s="2051"/>
      <c r="E9" s="2052"/>
      <c r="F9" s="2052"/>
      <c r="G9" s="2067" t="s">
        <v>225</v>
      </c>
      <c r="H9" s="2067"/>
      <c r="I9" s="2067"/>
      <c r="J9" s="2071"/>
      <c r="K9" s="2069"/>
      <c r="L9" s="2070"/>
      <c r="M9" s="2069">
        <f>ROUND(SUM(M10:M10),Config!C103)</f>
        <v>794038</v>
      </c>
      <c r="N9" s="2056"/>
      <c r="O9" s="2057"/>
      <c r="P9" s="1952"/>
      <c r="Q9" s="2025"/>
      <c r="R9" s="2025"/>
      <c r="S9" s="2025"/>
    </row>
    <row r="10" spans="1:19" s="474" customFormat="1" ht="15">
      <c r="A10" s="2050"/>
      <c r="B10" s="2051"/>
      <c r="C10" s="2051"/>
      <c r="D10" s="2051"/>
      <c r="E10" s="2052"/>
      <c r="F10" s="2052" t="s">
        <v>1831</v>
      </c>
      <c r="G10" s="2053" t="s">
        <v>1832</v>
      </c>
      <c r="H10" s="2052" t="s">
        <v>1833</v>
      </c>
      <c r="I10" s="2052"/>
      <c r="J10" s="2054">
        <v>3.8</v>
      </c>
      <c r="K10" s="2170">
        <f>'TH vat tu XD'!G10</f>
        <v>208957.23684210525</v>
      </c>
      <c r="L10" s="2054"/>
      <c r="M10" s="2055">
        <f>IF(L10=0,J10*K10,J10*K10*L10)</f>
        <v>794037.49999999988</v>
      </c>
      <c r="N10" s="2056">
        <f>IF(L10=0,I8*J10,I8*J10*L10)</f>
        <v>1.2281599999999999</v>
      </c>
      <c r="O10" s="2057"/>
      <c r="P10" s="1952"/>
      <c r="Q10" s="2025"/>
      <c r="R10" s="2025"/>
      <c r="S10" s="2025"/>
    </row>
    <row r="11" spans="1:19" s="474" customFormat="1" ht="15">
      <c r="A11" s="2050"/>
      <c r="B11" s="2051"/>
      <c r="C11" s="2051"/>
      <c r="D11" s="2051"/>
      <c r="E11" s="2052"/>
      <c r="F11" s="2052"/>
      <c r="G11" s="2067" t="s">
        <v>228</v>
      </c>
      <c r="H11" s="2067"/>
      <c r="I11" s="2067"/>
      <c r="J11" s="2071"/>
      <c r="K11" s="2069"/>
      <c r="L11" s="2070"/>
      <c r="M11" s="2069">
        <f>ROUND(SUM(M12:M12),Config!C103)</f>
        <v>833223</v>
      </c>
      <c r="N11" s="2056"/>
      <c r="O11" s="2057"/>
      <c r="P11" s="1952"/>
      <c r="Q11" s="2025"/>
      <c r="R11" s="2025"/>
      <c r="S11" s="2025"/>
    </row>
    <row r="12" spans="1:19" s="474" customFormat="1" ht="15">
      <c r="A12" s="2050"/>
      <c r="B12" s="2051"/>
      <c r="C12" s="2051"/>
      <c r="D12" s="2051"/>
      <c r="E12" s="2052"/>
      <c r="F12" s="2052" t="s">
        <v>1834</v>
      </c>
      <c r="G12" s="2053" t="s">
        <v>1835</v>
      </c>
      <c r="H12" s="2052" t="s">
        <v>1836</v>
      </c>
      <c r="I12" s="2052"/>
      <c r="J12" s="2054">
        <v>0.372</v>
      </c>
      <c r="K12" s="2170">
        <f>'TH vat tu XD'!G13</f>
        <v>2239847</v>
      </c>
      <c r="L12" s="2054"/>
      <c r="M12" s="2055">
        <f>IF(L12=0,J12*K12,J12*K12*L12)</f>
        <v>833223.08400000003</v>
      </c>
      <c r="N12" s="2056">
        <f>IF(L12=0,I8*J12,I8*J12*L12)</f>
        <v>0.1202304</v>
      </c>
      <c r="O12" s="2057"/>
      <c r="P12" s="1952"/>
      <c r="Q12" s="2025"/>
      <c r="R12" s="2025"/>
      <c r="S12" s="2025"/>
    </row>
    <row r="13" spans="1:19" s="474" customFormat="1" ht="15" hidden="1">
      <c r="A13" s="2050"/>
      <c r="B13" s="2051"/>
      <c r="C13" s="2051"/>
      <c r="D13" s="2051"/>
      <c r="E13" s="2052"/>
      <c r="F13" s="2052"/>
      <c r="G13" s="2065" t="s">
        <v>109</v>
      </c>
      <c r="H13" s="2052"/>
      <c r="I13" s="2052"/>
      <c r="J13" s="2052" t="s">
        <v>333</v>
      </c>
      <c r="K13" s="2055"/>
      <c r="L13" s="2054"/>
      <c r="M13" s="2066">
        <f>0+M9+M11</f>
        <v>1627261</v>
      </c>
      <c r="N13" s="2056"/>
      <c r="O13" s="2057"/>
      <c r="P13" s="1952"/>
      <c r="Q13" s="2025"/>
      <c r="R13" s="2025"/>
      <c r="S13" s="2025"/>
    </row>
    <row r="14" spans="1:19" s="474" customFormat="1" ht="15" hidden="1">
      <c r="A14" s="2050"/>
      <c r="B14" s="2051"/>
      <c r="C14" s="2051"/>
      <c r="D14" s="2051"/>
      <c r="E14" s="2052"/>
      <c r="F14" s="2052"/>
      <c r="G14" s="2065" t="s">
        <v>378</v>
      </c>
      <c r="H14" s="2052"/>
      <c r="I14" s="2052"/>
      <c r="J14" s="2052" t="str">
        <f ca="1">"T*"&amp;'THCP xay dung'!F19*100&amp;"%"</f>
        <v>T*6,2%</v>
      </c>
      <c r="K14" s="2055"/>
      <c r="L14" s="2054"/>
      <c r="M14" s="2066">
        <f ca="1">M13*'THCP xay dung'!F19*100%</f>
        <v>100890.182</v>
      </c>
      <c r="N14" s="2056"/>
      <c r="O14" s="2057"/>
      <c r="P14" s="1952"/>
      <c r="Q14" s="2025"/>
      <c r="R14" s="2025"/>
      <c r="S14" s="2025"/>
    </row>
    <row r="15" spans="1:19" s="474" customFormat="1" ht="28.5" hidden="1">
      <c r="A15" s="2050"/>
      <c r="B15" s="2051"/>
      <c r="C15" s="2051"/>
      <c r="D15" s="2051"/>
      <c r="E15" s="2052"/>
      <c r="F15" s="2052"/>
      <c r="G15" s="2065" t="s">
        <v>702</v>
      </c>
      <c r="H15" s="2052"/>
      <c r="I15" s="2052"/>
      <c r="J15" s="2052" t="str">
        <f>IF('THCP xay dung'!G20&lt;&gt;1,"T*"&amp;'THCP xay dung'!F20*100&amp;"%"&amp;"*"&amp;'THCP xay dung'!G20,"T*"&amp;'THCP xay dung'!F20*100&amp;"%")</f>
        <v>T*1,1%</v>
      </c>
      <c r="K15" s="2055"/>
      <c r="L15" s="2054"/>
      <c r="M15" s="2066">
        <f>IF('THCP xay dung'!G20&lt;&gt;1,M13*'THCP xay dung'!F20*100%*'THCP xay dung'!G20,M13*'THCP xay dung'!F20*100%)</f>
        <v>17899.871000000003</v>
      </c>
      <c r="N15" s="2056"/>
      <c r="O15" s="2057"/>
      <c r="P15" s="1952"/>
      <c r="Q15" s="2025"/>
      <c r="R15" s="2025"/>
      <c r="S15" s="2025"/>
    </row>
    <row r="16" spans="1:19" s="474" customFormat="1" ht="42.75" hidden="1">
      <c r="A16" s="2050"/>
      <c r="B16" s="2051"/>
      <c r="C16" s="2051"/>
      <c r="D16" s="2051"/>
      <c r="E16" s="2052"/>
      <c r="F16" s="2052"/>
      <c r="G16" s="2065" t="s">
        <v>703</v>
      </c>
      <c r="H16" s="2052"/>
      <c r="I16" s="2052"/>
      <c r="J16" s="2052" t="str">
        <f ca="1">"T*"&amp;'THCP xay dung'!F21*100&amp;"%"</f>
        <v>T*2%</v>
      </c>
      <c r="K16" s="2055"/>
      <c r="L16" s="2054"/>
      <c r="M16" s="2066">
        <f ca="1">M13*'THCP xay dung'!F21*100%</f>
        <v>32545.22</v>
      </c>
      <c r="N16" s="2056"/>
      <c r="O16" s="2057"/>
      <c r="P16" s="1952"/>
      <c r="Q16" s="2025"/>
      <c r="R16" s="2025"/>
      <c r="S16" s="2025"/>
    </row>
    <row r="17" spans="1:19" s="474" customFormat="1" ht="15" hidden="1">
      <c r="A17" s="2050"/>
      <c r="B17" s="2051"/>
      <c r="C17" s="2051"/>
      <c r="D17" s="2051"/>
      <c r="E17" s="2052"/>
      <c r="F17" s="2052"/>
      <c r="G17" s="2065" t="s">
        <v>701</v>
      </c>
      <c r="H17" s="2052"/>
      <c r="I17" s="2052"/>
      <c r="J17" s="2052" t="s">
        <v>931</v>
      </c>
      <c r="K17" s="2055"/>
      <c r="L17" s="2054"/>
      <c r="M17" s="2066">
        <f ca="1">M14+M15+M16</f>
        <v>151335.27299999999</v>
      </c>
      <c r="N17" s="2056"/>
      <c r="O17" s="2057"/>
      <c r="P17" s="1952"/>
      <c r="Q17" s="2025"/>
      <c r="R17" s="2025"/>
      <c r="S17" s="2025"/>
    </row>
    <row r="18" spans="1:19" s="474" customFormat="1" ht="15" hidden="1">
      <c r="A18" s="2050"/>
      <c r="B18" s="2051"/>
      <c r="C18" s="2051"/>
      <c r="D18" s="2051"/>
      <c r="E18" s="2052"/>
      <c r="F18" s="2052"/>
      <c r="G18" s="2065" t="s">
        <v>574</v>
      </c>
      <c r="H18" s="2052"/>
      <c r="I18" s="2052"/>
      <c r="J18" s="2052" t="str">
        <f ca="1">"(T+GT)*"&amp;'THCP xay dung'!F23*100&amp;"%"</f>
        <v>(T+GT)*6%</v>
      </c>
      <c r="K18" s="2055"/>
      <c r="L18" s="2054"/>
      <c r="M18" s="2066">
        <f ca="1">(M13+M17)*'THCP xay dung'!F23*100%</f>
        <v>106715.77638</v>
      </c>
      <c r="N18" s="2056"/>
      <c r="O18" s="2057"/>
      <c r="P18" s="1952"/>
      <c r="Q18" s="2025"/>
      <c r="R18" s="2025"/>
      <c r="S18" s="2025"/>
    </row>
    <row r="19" spans="1:19" s="474" customFormat="1" ht="15" hidden="1">
      <c r="A19" s="2050"/>
      <c r="B19" s="2051"/>
      <c r="C19" s="2051"/>
      <c r="D19" s="2051"/>
      <c r="E19" s="2052"/>
      <c r="F19" s="2052"/>
      <c r="G19" s="2065" t="s">
        <v>113</v>
      </c>
      <c r="H19" s="2052"/>
      <c r="I19" s="2052"/>
      <c r="J19" s="2052" t="s">
        <v>705</v>
      </c>
      <c r="K19" s="2055"/>
      <c r="L19" s="2054"/>
      <c r="M19" s="2066">
        <f ca="1">M13+M17+M18</f>
        <v>1885312.04938</v>
      </c>
      <c r="N19" s="2056"/>
      <c r="O19" s="2057"/>
      <c r="P19" s="1952"/>
      <c r="Q19" s="2025"/>
      <c r="R19" s="2025"/>
      <c r="S19" s="2025"/>
    </row>
    <row r="20" spans="1:19" s="474" customFormat="1" ht="15" hidden="1">
      <c r="A20" s="2050"/>
      <c r="B20" s="2051"/>
      <c r="C20" s="2051"/>
      <c r="D20" s="2051"/>
      <c r="E20" s="2052"/>
      <c r="F20" s="2052"/>
      <c r="G20" s="2065" t="s">
        <v>575</v>
      </c>
      <c r="H20" s="2052"/>
      <c r="I20" s="2052"/>
      <c r="J20" s="2052" t="str">
        <f>"G*"&amp;'THCP xay dung'!F25*100&amp;"%"</f>
        <v>G*10%</v>
      </c>
      <c r="K20" s="2055"/>
      <c r="L20" s="2054"/>
      <c r="M20" s="2066">
        <f ca="1">M19*'THCP xay dung'!F25*100%</f>
        <v>188531.20493800001</v>
      </c>
      <c r="N20" s="2056"/>
      <c r="O20" s="2057"/>
      <c r="P20" s="1952"/>
      <c r="Q20" s="2025"/>
      <c r="R20" s="2025"/>
      <c r="S20" s="2025"/>
    </row>
    <row r="21" spans="1:19" s="474" customFormat="1" ht="15" hidden="1">
      <c r="A21" s="2050"/>
      <c r="B21" s="2051"/>
      <c r="C21" s="2051"/>
      <c r="D21" s="2051"/>
      <c r="E21" s="2052"/>
      <c r="F21" s="2052"/>
      <c r="G21" s="2065" t="s">
        <v>117</v>
      </c>
      <c r="H21" s="2052"/>
      <c r="I21" s="2052"/>
      <c r="J21" s="2052" t="s">
        <v>596</v>
      </c>
      <c r="K21" s="2055"/>
      <c r="L21" s="2054"/>
      <c r="M21" s="2066">
        <f ca="1">M19+M20</f>
        <v>2073843.2543180001</v>
      </c>
      <c r="N21" s="2056"/>
      <c r="O21" s="2057"/>
      <c r="P21" s="1952"/>
      <c r="Q21" s="2025"/>
      <c r="R21" s="2025"/>
      <c r="S21" s="2025"/>
    </row>
    <row r="22" spans="1:19" s="474" customFormat="1" ht="15" hidden="1">
      <c r="A22" s="2050"/>
      <c r="B22" s="2051"/>
      <c r="C22" s="2051"/>
      <c r="D22" s="2051"/>
      <c r="E22" s="2052"/>
      <c r="F22" s="2052"/>
      <c r="G22" s="2065" t="s">
        <v>168</v>
      </c>
      <c r="H22" s="2052"/>
      <c r="I22" s="2052"/>
      <c r="J22" s="2052" t="str">
        <f ca="1">"GXD*"&amp;'THCP xay dung'!F27*100&amp;"%"</f>
        <v>GXD*6%</v>
      </c>
      <c r="K22" s="2055"/>
      <c r="L22" s="2054"/>
      <c r="M22" s="2066">
        <f ca="1">M21*'THCP xay dung'!F27*100%</f>
        <v>124430.59525908</v>
      </c>
      <c r="N22" s="2056"/>
      <c r="O22" s="2057"/>
      <c r="P22" s="1952"/>
      <c r="Q22" s="2025"/>
      <c r="R22" s="2025"/>
      <c r="S22" s="2025"/>
    </row>
    <row r="23" spans="1:19" s="474" customFormat="1" ht="15" hidden="1">
      <c r="A23" s="2090" t="s">
        <v>304</v>
      </c>
      <c r="B23" s="2091"/>
      <c r="C23" s="2091"/>
      <c r="D23" s="2091"/>
      <c r="E23" s="2092"/>
      <c r="F23" s="2092"/>
      <c r="G23" s="2075" t="s">
        <v>1837</v>
      </c>
      <c r="H23" s="2060"/>
      <c r="I23" s="2060"/>
      <c r="J23" s="2060" t="s">
        <v>1636</v>
      </c>
      <c r="K23" s="2062"/>
      <c r="L23" s="2061"/>
      <c r="M23" s="2074">
        <f ca="1">M21+M22</f>
        <v>2198273.84957708</v>
      </c>
      <c r="N23" s="2063"/>
      <c r="O23" s="2064"/>
      <c r="P23" s="1952"/>
      <c r="Q23" s="2025"/>
      <c r="R23" s="2025"/>
      <c r="S23" s="2025"/>
    </row>
    <row r="24" spans="1:19" s="474" customFormat="1" ht="45">
      <c r="A24" s="2093">
        <v>62</v>
      </c>
      <c r="B24" s="2094">
        <f>'Du toan XD'!B20</f>
        <v>2</v>
      </c>
      <c r="C24" s="2094"/>
      <c r="D24" s="2094" t="s">
        <v>1537</v>
      </c>
      <c r="E24" s="2093" t="s">
        <v>1537</v>
      </c>
      <c r="F24" s="2093"/>
      <c r="G24" s="2114" t="str">
        <f>'Du toan XD'!F20</f>
        <v>Đắp đất công trình bằng máy đầm đất cầm tay 70kg, độ chặt yêu cầu K=0,90</v>
      </c>
      <c r="H24" s="2093" t="str">
        <f>'Du toan XD'!G20</f>
        <v>100m³</v>
      </c>
      <c r="I24" s="2093">
        <f>'Du toan XD'!H20</f>
        <v>4.9237599999999986E-2</v>
      </c>
      <c r="J24" s="2095"/>
      <c r="K24" s="2096"/>
      <c r="L24" s="2097"/>
      <c r="M24" s="2096"/>
      <c r="N24" s="2098"/>
      <c r="O24" s="2098"/>
      <c r="P24" s="1952"/>
      <c r="Q24" s="2025"/>
      <c r="R24" s="2025">
        <f>M25</f>
        <v>1293445</v>
      </c>
      <c r="S24" s="2025">
        <f>M27</f>
        <v>475369</v>
      </c>
    </row>
    <row r="25" spans="1:19" s="474" customFormat="1" ht="15">
      <c r="A25" s="2099"/>
      <c r="B25" s="2100"/>
      <c r="C25" s="2100"/>
      <c r="D25" s="2100"/>
      <c r="E25" s="2099"/>
      <c r="F25" s="2099"/>
      <c r="G25" s="2116" t="s">
        <v>225</v>
      </c>
      <c r="H25" s="2116"/>
      <c r="I25" s="2116"/>
      <c r="J25" s="2120"/>
      <c r="K25" s="2118"/>
      <c r="L25" s="2119"/>
      <c r="M25" s="2118">
        <f>ROUND(SUM(M26:M26),Config!C103)</f>
        <v>1293445</v>
      </c>
      <c r="N25" s="2106"/>
      <c r="O25" s="2106"/>
      <c r="P25" s="1952"/>
      <c r="Q25" s="2025"/>
      <c r="R25" s="2025"/>
      <c r="S25" s="2025"/>
    </row>
    <row r="26" spans="1:19" s="474" customFormat="1" ht="15">
      <c r="A26" s="2099"/>
      <c r="B26" s="2100"/>
      <c r="C26" s="2100"/>
      <c r="D26" s="2100"/>
      <c r="E26" s="2099"/>
      <c r="F26" s="2099" t="s">
        <v>1831</v>
      </c>
      <c r="G26" s="2115" t="s">
        <v>1832</v>
      </c>
      <c r="H26" s="2099" t="s">
        <v>1833</v>
      </c>
      <c r="I26" s="2099"/>
      <c r="J26" s="2102">
        <v>6.19</v>
      </c>
      <c r="K26" s="2171">
        <f>'TH vat tu XD'!G10</f>
        <v>208957.23684210525</v>
      </c>
      <c r="L26" s="2104"/>
      <c r="M26" s="2103">
        <f>IF(L26=0,J26*K26,J26*K26*L26)</f>
        <v>1293445.2960526317</v>
      </c>
      <c r="N26" s="2106">
        <f>IF(L26=0,I24*J26,I24*J26*L26)</f>
        <v>0.30478074399999994</v>
      </c>
      <c r="O26" s="2106"/>
      <c r="P26" s="1952"/>
      <c r="Q26" s="2025"/>
      <c r="R26" s="2025"/>
      <c r="S26" s="2025"/>
    </row>
    <row r="27" spans="1:19" s="474" customFormat="1" ht="15">
      <c r="A27" s="2099"/>
      <c r="B27" s="2100"/>
      <c r="C27" s="2100"/>
      <c r="D27" s="2100"/>
      <c r="E27" s="2099"/>
      <c r="F27" s="2099"/>
      <c r="G27" s="2116" t="s">
        <v>228</v>
      </c>
      <c r="H27" s="2116"/>
      <c r="I27" s="2116"/>
      <c r="J27" s="2120"/>
      <c r="K27" s="2118"/>
      <c r="L27" s="2119"/>
      <c r="M27" s="2118">
        <f>ROUND(SUM(M28:M28),Config!C103)</f>
        <v>475369</v>
      </c>
      <c r="N27" s="2106"/>
      <c r="O27" s="2106"/>
      <c r="P27" s="1952"/>
      <c r="Q27" s="2025"/>
      <c r="R27" s="2025"/>
      <c r="S27" s="2025"/>
    </row>
    <row r="28" spans="1:19" s="474" customFormat="1" ht="15">
      <c r="A28" s="2099"/>
      <c r="B28" s="2100"/>
      <c r="C28" s="2100"/>
      <c r="D28" s="2100"/>
      <c r="E28" s="2099"/>
      <c r="F28" s="2099" t="s">
        <v>1839</v>
      </c>
      <c r="G28" s="2115" t="s">
        <v>1840</v>
      </c>
      <c r="H28" s="2099" t="s">
        <v>1836</v>
      </c>
      <c r="I28" s="2099"/>
      <c r="J28" s="2102">
        <v>3.8450000000000002</v>
      </c>
      <c r="K28" s="2171">
        <f>'TH vat tu XD'!G12</f>
        <v>123633</v>
      </c>
      <c r="L28" s="2104"/>
      <c r="M28" s="2103">
        <f>IF(L28=0,J28*K28,J28*K28*L28)</f>
        <v>475368.88500000001</v>
      </c>
      <c r="N28" s="2106">
        <f>IF(L28=0,I24*J28,I24*J28*L28)</f>
        <v>0.18931857199999996</v>
      </c>
      <c r="O28" s="2106"/>
      <c r="P28" s="1952"/>
      <c r="Q28" s="2025"/>
      <c r="R28" s="2025"/>
      <c r="S28" s="2025"/>
    </row>
    <row r="29" spans="1:19" s="474" customFormat="1" ht="15" hidden="1">
      <c r="A29" s="2099"/>
      <c r="B29" s="2100"/>
      <c r="C29" s="2100"/>
      <c r="D29" s="2100"/>
      <c r="E29" s="2099"/>
      <c r="F29" s="2099"/>
      <c r="G29" s="2101" t="s">
        <v>109</v>
      </c>
      <c r="H29" s="2099"/>
      <c r="I29" s="2099"/>
      <c r="J29" s="2099" t="s">
        <v>333</v>
      </c>
      <c r="K29" s="2103"/>
      <c r="L29" s="2104"/>
      <c r="M29" s="2105">
        <f>0+M25+M27</f>
        <v>1768814</v>
      </c>
      <c r="N29" s="2106"/>
      <c r="O29" s="2106"/>
      <c r="P29" s="1952"/>
      <c r="Q29" s="2025"/>
      <c r="R29" s="2025"/>
      <c r="S29" s="2025"/>
    </row>
    <row r="30" spans="1:19" s="474" customFormat="1" ht="15" hidden="1">
      <c r="A30" s="2099"/>
      <c r="B30" s="2100"/>
      <c r="C30" s="2100"/>
      <c r="D30" s="2100"/>
      <c r="E30" s="2099"/>
      <c r="F30" s="2099"/>
      <c r="G30" s="2101" t="s">
        <v>378</v>
      </c>
      <c r="H30" s="2099"/>
      <c r="I30" s="2099"/>
      <c r="J30" s="2099" t="str">
        <f ca="1">"T*"&amp;'THCP xay dung'!F19*100&amp;"%"</f>
        <v>T*6,2%</v>
      </c>
      <c r="K30" s="2103"/>
      <c r="L30" s="2104"/>
      <c r="M30" s="2105">
        <f ca="1">M29*'THCP xay dung'!F19*100%</f>
        <v>109666.46799999999</v>
      </c>
      <c r="N30" s="2106"/>
      <c r="O30" s="2106"/>
      <c r="P30" s="1952"/>
      <c r="Q30" s="2025"/>
      <c r="R30" s="2025"/>
      <c r="S30" s="2025"/>
    </row>
    <row r="31" spans="1:19" s="474" customFormat="1" ht="28.5" hidden="1">
      <c r="A31" s="2099"/>
      <c r="B31" s="2100"/>
      <c r="C31" s="2100"/>
      <c r="D31" s="2100"/>
      <c r="E31" s="2099"/>
      <c r="F31" s="2099"/>
      <c r="G31" s="2101" t="s">
        <v>702</v>
      </c>
      <c r="H31" s="2099"/>
      <c r="I31" s="2099"/>
      <c r="J31" s="2099" t="str">
        <f>IF('THCP xay dung'!G20&lt;&gt;1,"T*"&amp;'THCP xay dung'!F20*100&amp;"%"&amp;"*"&amp;'THCP xay dung'!G20,"T*"&amp;'THCP xay dung'!F20*100&amp;"%")</f>
        <v>T*1,1%</v>
      </c>
      <c r="K31" s="2103"/>
      <c r="L31" s="2104"/>
      <c r="M31" s="2105">
        <f>IF('THCP xay dung'!G20&lt;&gt;1,M29*'THCP xay dung'!F20*100%*'THCP xay dung'!G20,M29*'THCP xay dung'!F20*100%)</f>
        <v>19456.954000000002</v>
      </c>
      <c r="N31" s="2106"/>
      <c r="O31" s="2106"/>
      <c r="P31" s="1952"/>
      <c r="Q31" s="2025"/>
      <c r="R31" s="2025"/>
      <c r="S31" s="2025"/>
    </row>
    <row r="32" spans="1:19" s="474" customFormat="1" ht="42.75" hidden="1">
      <c r="A32" s="2099"/>
      <c r="B32" s="2100"/>
      <c r="C32" s="2100"/>
      <c r="D32" s="2100"/>
      <c r="E32" s="2099"/>
      <c r="F32" s="2099"/>
      <c r="G32" s="2101" t="s">
        <v>703</v>
      </c>
      <c r="H32" s="2099"/>
      <c r="I32" s="2099"/>
      <c r="J32" s="2099" t="str">
        <f ca="1">"T*"&amp;'THCP xay dung'!F21*100&amp;"%"</f>
        <v>T*2%</v>
      </c>
      <c r="K32" s="2103"/>
      <c r="L32" s="2104"/>
      <c r="M32" s="2105">
        <f ca="1">M29*'THCP xay dung'!F21*100%</f>
        <v>35376.28</v>
      </c>
      <c r="N32" s="2106"/>
      <c r="O32" s="2106"/>
      <c r="P32" s="1952"/>
      <c r="Q32" s="2025"/>
      <c r="R32" s="2025"/>
      <c r="S32" s="2025"/>
    </row>
    <row r="33" spans="1:19" s="474" customFormat="1" ht="15" hidden="1">
      <c r="A33" s="2099"/>
      <c r="B33" s="2100"/>
      <c r="C33" s="2100"/>
      <c r="D33" s="2100"/>
      <c r="E33" s="2099"/>
      <c r="F33" s="2099"/>
      <c r="G33" s="2101" t="s">
        <v>701</v>
      </c>
      <c r="H33" s="2099"/>
      <c r="I33" s="2099"/>
      <c r="J33" s="2099" t="s">
        <v>931</v>
      </c>
      <c r="K33" s="2103"/>
      <c r="L33" s="2104"/>
      <c r="M33" s="2105">
        <f ca="1">M30+M31+M32</f>
        <v>164499.70199999999</v>
      </c>
      <c r="N33" s="2106"/>
      <c r="O33" s="2106"/>
      <c r="P33" s="1952"/>
      <c r="Q33" s="2025"/>
      <c r="R33" s="2025"/>
      <c r="S33" s="2025"/>
    </row>
    <row r="34" spans="1:19" s="474" customFormat="1" ht="15" hidden="1">
      <c r="A34" s="2099"/>
      <c r="B34" s="2100"/>
      <c r="C34" s="2100"/>
      <c r="D34" s="2100"/>
      <c r="E34" s="2099"/>
      <c r="F34" s="2099"/>
      <c r="G34" s="2101" t="s">
        <v>574</v>
      </c>
      <c r="H34" s="2099"/>
      <c r="I34" s="2099"/>
      <c r="J34" s="2099" t="str">
        <f ca="1">"(T+GT)*"&amp;'THCP xay dung'!F23*100&amp;"%"</f>
        <v>(T+GT)*6%</v>
      </c>
      <c r="K34" s="2103"/>
      <c r="L34" s="2104"/>
      <c r="M34" s="2105">
        <f ca="1">(M29+M33)*'THCP xay dung'!F23*100%</f>
        <v>115998.82212</v>
      </c>
      <c r="N34" s="2106"/>
      <c r="O34" s="2106"/>
      <c r="P34" s="1952"/>
      <c r="Q34" s="2025"/>
      <c r="R34" s="2025"/>
      <c r="S34" s="2025"/>
    </row>
    <row r="35" spans="1:19" s="474" customFormat="1" ht="15" hidden="1">
      <c r="A35" s="2099"/>
      <c r="B35" s="2100"/>
      <c r="C35" s="2100"/>
      <c r="D35" s="2100"/>
      <c r="E35" s="2099"/>
      <c r="F35" s="2099"/>
      <c r="G35" s="2101" t="s">
        <v>113</v>
      </c>
      <c r="H35" s="2099"/>
      <c r="I35" s="2099"/>
      <c r="J35" s="2099" t="s">
        <v>705</v>
      </c>
      <c r="K35" s="2103"/>
      <c r="L35" s="2104"/>
      <c r="M35" s="2105">
        <f ca="1">M29+M33+M34</f>
        <v>2049312.52412</v>
      </c>
      <c r="N35" s="2106"/>
      <c r="O35" s="2106"/>
      <c r="P35" s="1952"/>
      <c r="Q35" s="2025"/>
      <c r="R35" s="2025"/>
      <c r="S35" s="2025"/>
    </row>
    <row r="36" spans="1:19" s="474" customFormat="1" ht="15" hidden="1">
      <c r="A36" s="2099"/>
      <c r="B36" s="2100"/>
      <c r="C36" s="2100"/>
      <c r="D36" s="2100"/>
      <c r="E36" s="2099"/>
      <c r="F36" s="2099"/>
      <c r="G36" s="2101" t="s">
        <v>575</v>
      </c>
      <c r="H36" s="2099"/>
      <c r="I36" s="2099"/>
      <c r="J36" s="2099" t="str">
        <f>"G*"&amp;'THCP xay dung'!F25*100&amp;"%"</f>
        <v>G*10%</v>
      </c>
      <c r="K36" s="2103"/>
      <c r="L36" s="2104"/>
      <c r="M36" s="2105">
        <f ca="1">M35*'THCP xay dung'!F25*100%</f>
        <v>204931.252412</v>
      </c>
      <c r="N36" s="2106"/>
      <c r="O36" s="2106"/>
      <c r="P36" s="1952"/>
      <c r="Q36" s="2025"/>
      <c r="R36" s="2025"/>
      <c r="S36" s="2025"/>
    </row>
    <row r="37" spans="1:19" s="474" customFormat="1" ht="15" hidden="1">
      <c r="A37" s="2099"/>
      <c r="B37" s="2100"/>
      <c r="C37" s="2100"/>
      <c r="D37" s="2100"/>
      <c r="E37" s="2099"/>
      <c r="F37" s="2099"/>
      <c r="G37" s="2101" t="s">
        <v>117</v>
      </c>
      <c r="H37" s="2099"/>
      <c r="I37" s="2099"/>
      <c r="J37" s="2099" t="s">
        <v>596</v>
      </c>
      <c r="K37" s="2103"/>
      <c r="L37" s="2104"/>
      <c r="M37" s="2105">
        <f ca="1">M35+M36</f>
        <v>2254243.7765319999</v>
      </c>
      <c r="N37" s="2106"/>
      <c r="O37" s="2106"/>
      <c r="P37" s="1952"/>
      <c r="Q37" s="2025"/>
      <c r="R37" s="2025"/>
      <c r="S37" s="2025"/>
    </row>
    <row r="38" spans="1:19" s="474" customFormat="1" ht="15" hidden="1">
      <c r="A38" s="2099"/>
      <c r="B38" s="2100"/>
      <c r="C38" s="2100"/>
      <c r="D38" s="2100"/>
      <c r="E38" s="2099"/>
      <c r="F38" s="2099"/>
      <c r="G38" s="2101" t="s">
        <v>168</v>
      </c>
      <c r="H38" s="2099"/>
      <c r="I38" s="2099"/>
      <c r="J38" s="2099" t="str">
        <f ca="1">"GXD*"&amp;'THCP xay dung'!F27*100&amp;"%"</f>
        <v>GXD*6%</v>
      </c>
      <c r="K38" s="2103"/>
      <c r="L38" s="2104"/>
      <c r="M38" s="2105">
        <f ca="1">M37*'THCP xay dung'!F27*100%</f>
        <v>135254.62659191998</v>
      </c>
      <c r="N38" s="2106"/>
      <c r="O38" s="2106"/>
      <c r="P38" s="1952"/>
      <c r="Q38" s="2025"/>
      <c r="R38" s="2025"/>
      <c r="S38" s="2025"/>
    </row>
    <row r="39" spans="1:19" s="474" customFormat="1" ht="15" hidden="1">
      <c r="A39" s="2122" t="s">
        <v>304</v>
      </c>
      <c r="B39" s="2123"/>
      <c r="C39" s="2123"/>
      <c r="D39" s="2123"/>
      <c r="E39" s="2122"/>
      <c r="F39" s="2122"/>
      <c r="G39" s="2109" t="s">
        <v>1837</v>
      </c>
      <c r="H39" s="2107"/>
      <c r="I39" s="2107"/>
      <c r="J39" s="2107" t="s">
        <v>1636</v>
      </c>
      <c r="K39" s="2110"/>
      <c r="L39" s="2111"/>
      <c r="M39" s="2112">
        <f ca="1">M37+M38</f>
        <v>2389498.4031239199</v>
      </c>
      <c r="N39" s="2113"/>
      <c r="O39" s="2113"/>
      <c r="P39" s="1952"/>
      <c r="Q39" s="2025"/>
      <c r="R39" s="2025"/>
      <c r="S39" s="2025"/>
    </row>
    <row r="40" spans="1:19" s="474" customFormat="1" ht="45">
      <c r="A40" s="2124">
        <v>63</v>
      </c>
      <c r="B40" s="2125">
        <f>'Du toan XD'!B40</f>
        <v>3</v>
      </c>
      <c r="C40" s="2125"/>
      <c r="D40" s="2125" t="s">
        <v>1538</v>
      </c>
      <c r="E40" s="2126" t="s">
        <v>1538</v>
      </c>
      <c r="F40" s="2126"/>
      <c r="G40" s="2132" t="str">
        <f>'Du toan XD'!F40</f>
        <v>Đắp đất công trình bằng máy đầm đất cầm tay 70kg, độ chặt yêu cầu K=0,95</v>
      </c>
      <c r="H40" s="2126" t="str">
        <f>'Du toan XD'!G40</f>
        <v>100m³</v>
      </c>
      <c r="I40" s="2126">
        <f>'Du toan XD'!H40</f>
        <v>0.29179999999999995</v>
      </c>
      <c r="J40" s="2127"/>
      <c r="K40" s="2128"/>
      <c r="L40" s="2129"/>
      <c r="M40" s="2128"/>
      <c r="N40" s="2130"/>
      <c r="O40" s="2131"/>
      <c r="P40" s="1952"/>
      <c r="Q40" s="2025"/>
      <c r="R40" s="2025">
        <f>M41</f>
        <v>1489865</v>
      </c>
      <c r="S40" s="2025">
        <f>M43</f>
        <v>547447</v>
      </c>
    </row>
    <row r="41" spans="1:19" s="474" customFormat="1" ht="15">
      <c r="A41" s="2050"/>
      <c r="B41" s="2051"/>
      <c r="C41" s="2051"/>
      <c r="D41" s="2051"/>
      <c r="E41" s="2052"/>
      <c r="F41" s="2052"/>
      <c r="G41" s="2067" t="s">
        <v>225</v>
      </c>
      <c r="H41" s="2067"/>
      <c r="I41" s="2067"/>
      <c r="J41" s="2134"/>
      <c r="K41" s="2069"/>
      <c r="L41" s="2070"/>
      <c r="M41" s="2069">
        <f>ROUND(SUM(M42:M42),Config!C103)</f>
        <v>1489865</v>
      </c>
      <c r="N41" s="2056"/>
      <c r="O41" s="2057"/>
      <c r="P41" s="1952"/>
      <c r="Q41" s="2025"/>
      <c r="R41" s="2025"/>
      <c r="S41" s="2025"/>
    </row>
    <row r="42" spans="1:19" s="474" customFormat="1" ht="15">
      <c r="A42" s="2050"/>
      <c r="B42" s="2051"/>
      <c r="C42" s="2051"/>
      <c r="D42" s="2051"/>
      <c r="E42" s="2052"/>
      <c r="F42" s="2052" t="s">
        <v>1831</v>
      </c>
      <c r="G42" s="2053" t="s">
        <v>1832</v>
      </c>
      <c r="H42" s="2052" t="s">
        <v>1833</v>
      </c>
      <c r="I42" s="2052"/>
      <c r="J42" s="2073">
        <v>7.13</v>
      </c>
      <c r="K42" s="2170">
        <f>'TH vat tu XD'!G10</f>
        <v>208957.23684210525</v>
      </c>
      <c r="L42" s="2054"/>
      <c r="M42" s="2055">
        <f>IF(L42=0,J42*K42,J42*K42*L42)</f>
        <v>1489865.0986842103</v>
      </c>
      <c r="N42" s="2056">
        <f>IF(L42=0,I40*J42,I40*J42*L42)</f>
        <v>2.0805339999999997</v>
      </c>
      <c r="O42" s="2057"/>
      <c r="P42" s="1952"/>
      <c r="Q42" s="2025"/>
      <c r="R42" s="2025"/>
      <c r="S42" s="2025"/>
    </row>
    <row r="43" spans="1:19" s="474" customFormat="1" ht="15">
      <c r="A43" s="2050"/>
      <c r="B43" s="2051"/>
      <c r="C43" s="2051"/>
      <c r="D43" s="2051"/>
      <c r="E43" s="2052"/>
      <c r="F43" s="2052"/>
      <c r="G43" s="2067" t="s">
        <v>228</v>
      </c>
      <c r="H43" s="2067"/>
      <c r="I43" s="2067"/>
      <c r="J43" s="2134"/>
      <c r="K43" s="2069"/>
      <c r="L43" s="2070"/>
      <c r="M43" s="2069">
        <f>ROUND(SUM(M44:M44),Config!C103)</f>
        <v>547447</v>
      </c>
      <c r="N43" s="2056"/>
      <c r="O43" s="2057"/>
      <c r="P43" s="1952"/>
      <c r="Q43" s="2025"/>
      <c r="R43" s="2025"/>
      <c r="S43" s="2025"/>
    </row>
    <row r="44" spans="1:19" s="474" customFormat="1" ht="15">
      <c r="A44" s="2050"/>
      <c r="B44" s="2051"/>
      <c r="C44" s="2051"/>
      <c r="D44" s="2051"/>
      <c r="E44" s="2052"/>
      <c r="F44" s="2052" t="s">
        <v>1839</v>
      </c>
      <c r="G44" s="2053" t="s">
        <v>1840</v>
      </c>
      <c r="H44" s="2052" t="s">
        <v>1836</v>
      </c>
      <c r="I44" s="2052"/>
      <c r="J44" s="2073">
        <v>4.4279999999999999</v>
      </c>
      <c r="K44" s="2170">
        <f>'TH vat tu XD'!G12</f>
        <v>123633</v>
      </c>
      <c r="L44" s="2054"/>
      <c r="M44" s="2055">
        <f>IF(L44=0,J44*K44,J44*K44*L44)</f>
        <v>547446.924</v>
      </c>
      <c r="N44" s="2056">
        <f>IF(L44=0,I40*J44,I40*J44*L44)</f>
        <v>1.2920903999999998</v>
      </c>
      <c r="O44" s="2057"/>
      <c r="P44" s="1952"/>
      <c r="Q44" s="2025"/>
      <c r="R44" s="2025"/>
      <c r="S44" s="2025"/>
    </row>
    <row r="45" spans="1:19" s="474" customFormat="1" ht="15" hidden="1">
      <c r="A45" s="2050"/>
      <c r="B45" s="2051"/>
      <c r="C45" s="2051"/>
      <c r="D45" s="2051"/>
      <c r="E45" s="2052"/>
      <c r="F45" s="2052"/>
      <c r="G45" s="2065" t="s">
        <v>109</v>
      </c>
      <c r="H45" s="2052"/>
      <c r="I45" s="2052"/>
      <c r="J45" s="2052" t="s">
        <v>333</v>
      </c>
      <c r="K45" s="2055"/>
      <c r="L45" s="2054"/>
      <c r="M45" s="2066">
        <f>0+M41+M43</f>
        <v>2037312</v>
      </c>
      <c r="N45" s="2056"/>
      <c r="O45" s="2057"/>
      <c r="P45" s="1952"/>
      <c r="Q45" s="2025"/>
      <c r="R45" s="2025"/>
      <c r="S45" s="2025"/>
    </row>
    <row r="46" spans="1:19" s="474" customFormat="1" ht="15" hidden="1">
      <c r="A46" s="2050"/>
      <c r="B46" s="2051"/>
      <c r="C46" s="2051"/>
      <c r="D46" s="2051"/>
      <c r="E46" s="2052"/>
      <c r="F46" s="2052"/>
      <c r="G46" s="2065" t="s">
        <v>378</v>
      </c>
      <c r="H46" s="2052"/>
      <c r="I46" s="2052"/>
      <c r="J46" s="2052" t="str">
        <f ca="1">"T*"&amp;'THCP xay dung'!F19*100&amp;"%"</f>
        <v>T*6,2%</v>
      </c>
      <c r="K46" s="2055"/>
      <c r="L46" s="2054"/>
      <c r="M46" s="2066">
        <f ca="1">M45*'THCP xay dung'!F19*100%</f>
        <v>126313.344</v>
      </c>
      <c r="N46" s="2056"/>
      <c r="O46" s="2057"/>
      <c r="P46" s="1952"/>
      <c r="Q46" s="2025"/>
      <c r="R46" s="2025"/>
      <c r="S46" s="2025"/>
    </row>
    <row r="47" spans="1:19" s="474" customFormat="1" ht="28.5" hidden="1">
      <c r="A47" s="2050"/>
      <c r="B47" s="2051"/>
      <c r="C47" s="2051"/>
      <c r="D47" s="2051"/>
      <c r="E47" s="2052"/>
      <c r="F47" s="2052"/>
      <c r="G47" s="2065" t="s">
        <v>702</v>
      </c>
      <c r="H47" s="2052"/>
      <c r="I47" s="2052"/>
      <c r="J47" s="2052" t="str">
        <f>IF('THCP xay dung'!G20&lt;&gt;1,"T*"&amp;'THCP xay dung'!F20*100&amp;"%"&amp;"*"&amp;'THCP xay dung'!G20,"T*"&amp;'THCP xay dung'!F20*100&amp;"%")</f>
        <v>T*1,1%</v>
      </c>
      <c r="K47" s="2055"/>
      <c r="L47" s="2054"/>
      <c r="M47" s="2066">
        <f>IF('THCP xay dung'!G20&lt;&gt;1,M45*'THCP xay dung'!F20*100%*'THCP xay dung'!G20,M45*'THCP xay dung'!F20*100%)</f>
        <v>22410.432000000001</v>
      </c>
      <c r="N47" s="2056"/>
      <c r="O47" s="2057"/>
      <c r="P47" s="1952"/>
      <c r="Q47" s="2025"/>
      <c r="R47" s="2025"/>
      <c r="S47" s="2025"/>
    </row>
    <row r="48" spans="1:19" s="474" customFormat="1" ht="42.75" hidden="1">
      <c r="A48" s="2050"/>
      <c r="B48" s="2051"/>
      <c r="C48" s="2051"/>
      <c r="D48" s="2051"/>
      <c r="E48" s="2052"/>
      <c r="F48" s="2052"/>
      <c r="G48" s="2065" t="s">
        <v>703</v>
      </c>
      <c r="H48" s="2052"/>
      <c r="I48" s="2052"/>
      <c r="J48" s="2052" t="str">
        <f ca="1">"T*"&amp;'THCP xay dung'!F21*100&amp;"%"</f>
        <v>T*2%</v>
      </c>
      <c r="K48" s="2055"/>
      <c r="L48" s="2054"/>
      <c r="M48" s="2066">
        <f ca="1">M45*'THCP xay dung'!F21*100%</f>
        <v>40746.239999999998</v>
      </c>
      <c r="N48" s="2056"/>
      <c r="O48" s="2057"/>
      <c r="P48" s="1952"/>
      <c r="Q48" s="2025"/>
      <c r="R48" s="2025"/>
      <c r="S48" s="2025"/>
    </row>
    <row r="49" spans="1:19" s="474" customFormat="1" ht="15" hidden="1">
      <c r="A49" s="2050"/>
      <c r="B49" s="2051"/>
      <c r="C49" s="2051"/>
      <c r="D49" s="2051"/>
      <c r="E49" s="2052"/>
      <c r="F49" s="2052"/>
      <c r="G49" s="2065" t="s">
        <v>701</v>
      </c>
      <c r="H49" s="2052"/>
      <c r="I49" s="2052"/>
      <c r="J49" s="2052" t="s">
        <v>931</v>
      </c>
      <c r="K49" s="2055"/>
      <c r="L49" s="2054"/>
      <c r="M49" s="2066">
        <f ca="1">M46+M47+M48</f>
        <v>189470.016</v>
      </c>
      <c r="N49" s="2056"/>
      <c r="O49" s="2057"/>
      <c r="P49" s="1952"/>
      <c r="Q49" s="2025"/>
      <c r="R49" s="2025"/>
      <c r="S49" s="2025"/>
    </row>
    <row r="50" spans="1:19" s="474" customFormat="1" ht="15" hidden="1">
      <c r="A50" s="2050"/>
      <c r="B50" s="2051"/>
      <c r="C50" s="2051"/>
      <c r="D50" s="2051"/>
      <c r="E50" s="2052"/>
      <c r="F50" s="2052"/>
      <c r="G50" s="2065" t="s">
        <v>574</v>
      </c>
      <c r="H50" s="2052"/>
      <c r="I50" s="2052"/>
      <c r="J50" s="2052" t="str">
        <f ca="1">"(T+GT)*"&amp;'THCP xay dung'!F23*100&amp;"%"</f>
        <v>(T+GT)*6%</v>
      </c>
      <c r="K50" s="2055"/>
      <c r="L50" s="2054"/>
      <c r="M50" s="2066">
        <f ca="1">(M45+M49)*'THCP xay dung'!F23*100%</f>
        <v>133606.92095999999</v>
      </c>
      <c r="N50" s="2056"/>
      <c r="O50" s="2057"/>
      <c r="P50" s="1952"/>
      <c r="Q50" s="2025"/>
      <c r="R50" s="2025"/>
      <c r="S50" s="2025"/>
    </row>
    <row r="51" spans="1:19" s="474" customFormat="1" ht="15" hidden="1">
      <c r="A51" s="2050"/>
      <c r="B51" s="2051"/>
      <c r="C51" s="2051"/>
      <c r="D51" s="2051"/>
      <c r="E51" s="2052"/>
      <c r="F51" s="2052"/>
      <c r="G51" s="2065" t="s">
        <v>113</v>
      </c>
      <c r="H51" s="2052"/>
      <c r="I51" s="2052"/>
      <c r="J51" s="2052" t="s">
        <v>705</v>
      </c>
      <c r="K51" s="2055"/>
      <c r="L51" s="2054"/>
      <c r="M51" s="2066">
        <f ca="1">M45+M49+M50</f>
        <v>2360388.9369599996</v>
      </c>
      <c r="N51" s="2056"/>
      <c r="O51" s="2057"/>
      <c r="P51" s="1952"/>
      <c r="Q51" s="2025"/>
      <c r="R51" s="2025"/>
      <c r="S51" s="2025"/>
    </row>
    <row r="52" spans="1:19" s="474" customFormat="1" ht="15" hidden="1">
      <c r="A52" s="2050"/>
      <c r="B52" s="2051"/>
      <c r="C52" s="2051"/>
      <c r="D52" s="2051"/>
      <c r="E52" s="2052"/>
      <c r="F52" s="2052"/>
      <c r="G52" s="2065" t="s">
        <v>575</v>
      </c>
      <c r="H52" s="2052"/>
      <c r="I52" s="2052"/>
      <c r="J52" s="2052" t="str">
        <f>"G*"&amp;'THCP xay dung'!F25*100&amp;"%"</f>
        <v>G*10%</v>
      </c>
      <c r="K52" s="2055"/>
      <c r="L52" s="2054"/>
      <c r="M52" s="2066">
        <f ca="1">M51*'THCP xay dung'!F25*100%</f>
        <v>236038.89369599998</v>
      </c>
      <c r="N52" s="2056"/>
      <c r="O52" s="2057"/>
      <c r="P52" s="1952"/>
      <c r="Q52" s="2025"/>
      <c r="R52" s="2025"/>
      <c r="S52" s="2025"/>
    </row>
    <row r="53" spans="1:19" s="474" customFormat="1" ht="15" hidden="1">
      <c r="A53" s="2050"/>
      <c r="B53" s="2051"/>
      <c r="C53" s="2051"/>
      <c r="D53" s="2051"/>
      <c r="E53" s="2052"/>
      <c r="F53" s="2052"/>
      <c r="G53" s="2065" t="s">
        <v>117</v>
      </c>
      <c r="H53" s="2052"/>
      <c r="I53" s="2052"/>
      <c r="J53" s="2052" t="s">
        <v>596</v>
      </c>
      <c r="K53" s="2055"/>
      <c r="L53" s="2054"/>
      <c r="M53" s="2066">
        <f ca="1">M51+M52</f>
        <v>2596427.8306559995</v>
      </c>
      <c r="N53" s="2056"/>
      <c r="O53" s="2057"/>
      <c r="P53" s="1952"/>
      <c r="Q53" s="2025"/>
      <c r="R53" s="2025"/>
      <c r="S53" s="2025"/>
    </row>
    <row r="54" spans="1:19" s="474" customFormat="1" ht="15" hidden="1">
      <c r="A54" s="2050"/>
      <c r="B54" s="2051"/>
      <c r="C54" s="2051"/>
      <c r="D54" s="2051"/>
      <c r="E54" s="2052"/>
      <c r="F54" s="2052"/>
      <c r="G54" s="2065" t="s">
        <v>168</v>
      </c>
      <c r="H54" s="2052"/>
      <c r="I54" s="2052"/>
      <c r="J54" s="2052" t="str">
        <f ca="1">"GXD*"&amp;'THCP xay dung'!F27*100&amp;"%"</f>
        <v>GXD*6%</v>
      </c>
      <c r="K54" s="2055"/>
      <c r="L54" s="2054"/>
      <c r="M54" s="2066">
        <f ca="1">M53*'THCP xay dung'!F27*100%</f>
        <v>155785.66983935997</v>
      </c>
      <c r="N54" s="2056"/>
      <c r="O54" s="2057"/>
      <c r="P54" s="1952"/>
      <c r="Q54" s="2025"/>
      <c r="R54" s="2025"/>
      <c r="S54" s="2025"/>
    </row>
    <row r="55" spans="1:19" s="474" customFormat="1" ht="15" hidden="1">
      <c r="A55" s="2090" t="s">
        <v>304</v>
      </c>
      <c r="B55" s="2091"/>
      <c r="C55" s="2091"/>
      <c r="D55" s="2091"/>
      <c r="E55" s="2092"/>
      <c r="F55" s="2092"/>
      <c r="G55" s="2075" t="s">
        <v>1837</v>
      </c>
      <c r="H55" s="2060"/>
      <c r="I55" s="2060"/>
      <c r="J55" s="2060" t="s">
        <v>1636</v>
      </c>
      <c r="K55" s="2062"/>
      <c r="L55" s="2061"/>
      <c r="M55" s="2074">
        <f ca="1">M53+M54</f>
        <v>2752213.5004953593</v>
      </c>
      <c r="N55" s="2063"/>
      <c r="O55" s="2064"/>
      <c r="P55" s="1952"/>
      <c r="Q55" s="2025"/>
      <c r="R55" s="2025"/>
      <c r="S55" s="2025"/>
    </row>
    <row r="56" spans="1:19" s="474" customFormat="1" ht="45">
      <c r="A56" s="2093">
        <v>64</v>
      </c>
      <c r="B56" s="2094">
        <f>'Du toan XD'!B47</f>
        <v>4</v>
      </c>
      <c r="C56" s="2094"/>
      <c r="D56" s="2094" t="s">
        <v>1539</v>
      </c>
      <c r="E56" s="2093" t="s">
        <v>1539</v>
      </c>
      <c r="F56" s="2093"/>
      <c r="G56" s="2114" t="str">
        <f>'Du toan XD'!F47</f>
        <v>Vận chuyển đất bằng ôtô tự đổ 5 tấn trong phạm vi ≤1000m, đất cấp II</v>
      </c>
      <c r="H56" s="2093" t="str">
        <f>'Du toan XD'!G47</f>
        <v>100m³</v>
      </c>
      <c r="I56" s="2093">
        <f>'Du toan XD'!H47</f>
        <v>1.7800000000000038E-2</v>
      </c>
      <c r="J56" s="2095"/>
      <c r="K56" s="2096"/>
      <c r="L56" s="2097"/>
      <c r="M56" s="2096"/>
      <c r="N56" s="2098"/>
      <c r="O56" s="2098"/>
      <c r="P56" s="1952"/>
      <c r="Q56" s="2025"/>
      <c r="R56" s="2025"/>
      <c r="S56" s="2025">
        <f>M57</f>
        <v>1929340</v>
      </c>
    </row>
    <row r="57" spans="1:19" s="474" customFormat="1" ht="15">
      <c r="A57" s="2099"/>
      <c r="B57" s="2100"/>
      <c r="C57" s="2100"/>
      <c r="D57" s="2100"/>
      <c r="E57" s="2099"/>
      <c r="F57" s="2099"/>
      <c r="G57" s="2116" t="s">
        <v>228</v>
      </c>
      <c r="H57" s="2116"/>
      <c r="I57" s="2116"/>
      <c r="J57" s="2120"/>
      <c r="K57" s="2118"/>
      <c r="L57" s="2119"/>
      <c r="M57" s="2118">
        <f>ROUND(SUM(M58:M58),Config!C103)</f>
        <v>1929340</v>
      </c>
      <c r="N57" s="2106"/>
      <c r="O57" s="2106"/>
      <c r="P57" s="1952"/>
      <c r="Q57" s="2025"/>
      <c r="R57" s="2025"/>
      <c r="S57" s="2025"/>
    </row>
    <row r="58" spans="1:19" s="474" customFormat="1" ht="15">
      <c r="A58" s="2099"/>
      <c r="B58" s="2100"/>
      <c r="C58" s="2100"/>
      <c r="D58" s="2100"/>
      <c r="E58" s="2099"/>
      <c r="F58" s="2099" t="s">
        <v>1843</v>
      </c>
      <c r="G58" s="2115" t="s">
        <v>1844</v>
      </c>
      <c r="H58" s="2099" t="s">
        <v>1836</v>
      </c>
      <c r="I58" s="2099"/>
      <c r="J58" s="2102">
        <v>1.329</v>
      </c>
      <c r="K58" s="2171">
        <f>'TH vat tu XD'!G14</f>
        <v>1451723</v>
      </c>
      <c r="L58" s="2104"/>
      <c r="M58" s="2103">
        <f>IF(L58=0,J58*K58,J58*K58*L58)</f>
        <v>1929339.8669999999</v>
      </c>
      <c r="N58" s="2106">
        <f>IF(L58=0,I56*J58,I56*J58*L58)</f>
        <v>2.3656200000000051E-2</v>
      </c>
      <c r="O58" s="2106"/>
      <c r="P58" s="1952"/>
      <c r="Q58" s="2025"/>
      <c r="R58" s="2025"/>
      <c r="S58" s="2025"/>
    </row>
    <row r="59" spans="1:19" s="474" customFormat="1" ht="15" hidden="1">
      <c r="A59" s="2099"/>
      <c r="B59" s="2100"/>
      <c r="C59" s="2100"/>
      <c r="D59" s="2100"/>
      <c r="E59" s="2099"/>
      <c r="F59" s="2099"/>
      <c r="G59" s="2101" t="s">
        <v>109</v>
      </c>
      <c r="H59" s="2099"/>
      <c r="I59" s="2099"/>
      <c r="J59" s="2099" t="s">
        <v>333</v>
      </c>
      <c r="K59" s="2103"/>
      <c r="L59" s="2104"/>
      <c r="M59" s="2105">
        <f>0+0+M57</f>
        <v>1929340</v>
      </c>
      <c r="N59" s="2106"/>
      <c r="O59" s="2106"/>
      <c r="P59" s="1952"/>
      <c r="Q59" s="2025"/>
      <c r="R59" s="2025"/>
      <c r="S59" s="2025"/>
    </row>
    <row r="60" spans="1:19" s="474" customFormat="1" ht="15" hidden="1">
      <c r="A60" s="2099"/>
      <c r="B60" s="2100"/>
      <c r="C60" s="2100"/>
      <c r="D60" s="2100"/>
      <c r="E60" s="2099"/>
      <c r="F60" s="2099"/>
      <c r="G60" s="2101" t="s">
        <v>378</v>
      </c>
      <c r="H60" s="2099"/>
      <c r="I60" s="2099"/>
      <c r="J60" s="2099" t="str">
        <f ca="1">"T*"&amp;'THCP xay dung'!F19*100&amp;"%"</f>
        <v>T*6,2%</v>
      </c>
      <c r="K60" s="2103"/>
      <c r="L60" s="2104"/>
      <c r="M60" s="2105">
        <f ca="1">M59*'THCP xay dung'!F19*100%</f>
        <v>119619.08</v>
      </c>
      <c r="N60" s="2106"/>
      <c r="O60" s="2106"/>
      <c r="P60" s="1952"/>
      <c r="Q60" s="2025"/>
      <c r="R60" s="2025"/>
      <c r="S60" s="2025"/>
    </row>
    <row r="61" spans="1:19" s="474" customFormat="1" ht="28.5" hidden="1">
      <c r="A61" s="2099"/>
      <c r="B61" s="2100"/>
      <c r="C61" s="2100"/>
      <c r="D61" s="2100"/>
      <c r="E61" s="2099"/>
      <c r="F61" s="2099"/>
      <c r="G61" s="2101" t="s">
        <v>702</v>
      </c>
      <c r="H61" s="2099"/>
      <c r="I61" s="2099"/>
      <c r="J61" s="2099" t="str">
        <f>IF('THCP xay dung'!G20&lt;&gt;1,"T*"&amp;'THCP xay dung'!F20*100&amp;"%"&amp;"*"&amp;'THCP xay dung'!G20,"T*"&amp;'THCP xay dung'!F20*100&amp;"%")</f>
        <v>T*1,1%</v>
      </c>
      <c r="K61" s="2103"/>
      <c r="L61" s="2104"/>
      <c r="M61" s="2105">
        <f>IF('THCP xay dung'!G20&lt;&gt;1,M59*'THCP xay dung'!F20*100%*'THCP xay dung'!G20,M59*'THCP xay dung'!F20*100%)</f>
        <v>21222.74</v>
      </c>
      <c r="N61" s="2106"/>
      <c r="O61" s="2106"/>
      <c r="P61" s="1952"/>
      <c r="Q61" s="2025"/>
      <c r="R61" s="2025"/>
      <c r="S61" s="2025"/>
    </row>
    <row r="62" spans="1:19" s="474" customFormat="1" ht="42.75" hidden="1">
      <c r="A62" s="2099"/>
      <c r="B62" s="2100"/>
      <c r="C62" s="2100"/>
      <c r="D62" s="2100"/>
      <c r="E62" s="2099"/>
      <c r="F62" s="2099"/>
      <c r="G62" s="2101" t="s">
        <v>703</v>
      </c>
      <c r="H62" s="2099"/>
      <c r="I62" s="2099"/>
      <c r="J62" s="2099" t="str">
        <f ca="1">"T*"&amp;'THCP xay dung'!F21*100&amp;"%"</f>
        <v>T*2%</v>
      </c>
      <c r="K62" s="2103"/>
      <c r="L62" s="2104"/>
      <c r="M62" s="2105">
        <f ca="1">M59*'THCP xay dung'!F21*100%</f>
        <v>38586.800000000003</v>
      </c>
      <c r="N62" s="2106"/>
      <c r="O62" s="2106"/>
      <c r="P62" s="1952"/>
      <c r="Q62" s="2025"/>
      <c r="R62" s="2025"/>
      <c r="S62" s="2025"/>
    </row>
    <row r="63" spans="1:19" s="474" customFormat="1" ht="15" hidden="1">
      <c r="A63" s="2099"/>
      <c r="B63" s="2100"/>
      <c r="C63" s="2100"/>
      <c r="D63" s="2100"/>
      <c r="E63" s="2099"/>
      <c r="F63" s="2099"/>
      <c r="G63" s="2101" t="s">
        <v>701</v>
      </c>
      <c r="H63" s="2099"/>
      <c r="I63" s="2099"/>
      <c r="J63" s="2099" t="s">
        <v>931</v>
      </c>
      <c r="K63" s="2103"/>
      <c r="L63" s="2104"/>
      <c r="M63" s="2105">
        <f ca="1">M60+M61+M62</f>
        <v>179428.62</v>
      </c>
      <c r="N63" s="2106"/>
      <c r="O63" s="2106"/>
      <c r="P63" s="1952"/>
      <c r="Q63" s="2025"/>
      <c r="R63" s="2025"/>
      <c r="S63" s="2025"/>
    </row>
    <row r="64" spans="1:19" s="474" customFormat="1" ht="15" hidden="1">
      <c r="A64" s="2099"/>
      <c r="B64" s="2100"/>
      <c r="C64" s="2100"/>
      <c r="D64" s="2100"/>
      <c r="E64" s="2099"/>
      <c r="F64" s="2099"/>
      <c r="G64" s="2101" t="s">
        <v>574</v>
      </c>
      <c r="H64" s="2099"/>
      <c r="I64" s="2099"/>
      <c r="J64" s="2099" t="str">
        <f ca="1">"(T+GT)*"&amp;'THCP xay dung'!F23*100&amp;"%"</f>
        <v>(T+GT)*6%</v>
      </c>
      <c r="K64" s="2103"/>
      <c r="L64" s="2104"/>
      <c r="M64" s="2105">
        <f ca="1">(M59+M63)*'THCP xay dung'!F23*100%</f>
        <v>126526.11720000001</v>
      </c>
      <c r="N64" s="2106"/>
      <c r="O64" s="2106"/>
      <c r="P64" s="1952"/>
      <c r="Q64" s="2025"/>
      <c r="R64" s="2025"/>
      <c r="S64" s="2025"/>
    </row>
    <row r="65" spans="1:19" s="474" customFormat="1" ht="15" hidden="1">
      <c r="A65" s="2099"/>
      <c r="B65" s="2100"/>
      <c r="C65" s="2100"/>
      <c r="D65" s="2100"/>
      <c r="E65" s="2099"/>
      <c r="F65" s="2099"/>
      <c r="G65" s="2101" t="s">
        <v>113</v>
      </c>
      <c r="H65" s="2099"/>
      <c r="I65" s="2099"/>
      <c r="J65" s="2099" t="s">
        <v>705</v>
      </c>
      <c r="K65" s="2103"/>
      <c r="L65" s="2104"/>
      <c r="M65" s="2105">
        <f ca="1">M59+M63+M64</f>
        <v>2235294.7372000003</v>
      </c>
      <c r="N65" s="2106"/>
      <c r="O65" s="2106"/>
      <c r="P65" s="1952"/>
      <c r="Q65" s="2025"/>
      <c r="R65" s="2025"/>
      <c r="S65" s="2025"/>
    </row>
    <row r="66" spans="1:19" s="474" customFormat="1" ht="15" hidden="1">
      <c r="A66" s="2099"/>
      <c r="B66" s="2100"/>
      <c r="C66" s="2100"/>
      <c r="D66" s="2100"/>
      <c r="E66" s="2099"/>
      <c r="F66" s="2099"/>
      <c r="G66" s="2101" t="s">
        <v>575</v>
      </c>
      <c r="H66" s="2099"/>
      <c r="I66" s="2099"/>
      <c r="J66" s="2099" t="str">
        <f>"G*"&amp;'THCP xay dung'!F25*100&amp;"%"</f>
        <v>G*10%</v>
      </c>
      <c r="K66" s="2103"/>
      <c r="L66" s="2104"/>
      <c r="M66" s="2105">
        <f ca="1">M65*'THCP xay dung'!F25*100%</f>
        <v>223529.47372000004</v>
      </c>
      <c r="N66" s="2106"/>
      <c r="O66" s="2106"/>
      <c r="P66" s="1952"/>
      <c r="Q66" s="2025"/>
      <c r="R66" s="2025"/>
      <c r="S66" s="2025"/>
    </row>
    <row r="67" spans="1:19" s="474" customFormat="1" ht="15" hidden="1">
      <c r="A67" s="2099"/>
      <c r="B67" s="2100"/>
      <c r="C67" s="2100"/>
      <c r="D67" s="2100"/>
      <c r="E67" s="2099"/>
      <c r="F67" s="2099"/>
      <c r="G67" s="2101" t="s">
        <v>117</v>
      </c>
      <c r="H67" s="2099"/>
      <c r="I67" s="2099"/>
      <c r="J67" s="2099" t="s">
        <v>596</v>
      </c>
      <c r="K67" s="2103"/>
      <c r="L67" s="2104"/>
      <c r="M67" s="2105">
        <f ca="1">M65+M66</f>
        <v>2458824.2109200004</v>
      </c>
      <c r="N67" s="2106"/>
      <c r="O67" s="2106"/>
      <c r="P67" s="1952"/>
      <c r="Q67" s="2025"/>
      <c r="R67" s="2025"/>
      <c r="S67" s="2025"/>
    </row>
    <row r="68" spans="1:19" s="474" customFormat="1" ht="15" hidden="1">
      <c r="A68" s="2099"/>
      <c r="B68" s="2100"/>
      <c r="C68" s="2100"/>
      <c r="D68" s="2100"/>
      <c r="E68" s="2099"/>
      <c r="F68" s="2099"/>
      <c r="G68" s="2101" t="s">
        <v>168</v>
      </c>
      <c r="H68" s="2099"/>
      <c r="I68" s="2099"/>
      <c r="J68" s="2099" t="str">
        <f ca="1">"GXD*"&amp;'THCP xay dung'!F27*100&amp;"%"</f>
        <v>GXD*6%</v>
      </c>
      <c r="K68" s="2103"/>
      <c r="L68" s="2104"/>
      <c r="M68" s="2105">
        <f ca="1">M67*'THCP xay dung'!F27*100%</f>
        <v>147529.45265520003</v>
      </c>
      <c r="N68" s="2106"/>
      <c r="O68" s="2106"/>
      <c r="P68" s="1952"/>
      <c r="Q68" s="2025"/>
      <c r="R68" s="2025"/>
      <c r="S68" s="2025"/>
    </row>
    <row r="69" spans="1:19" s="474" customFormat="1" ht="15" hidden="1">
      <c r="A69" s="2122" t="s">
        <v>304</v>
      </c>
      <c r="B69" s="2123"/>
      <c r="C69" s="2123"/>
      <c r="D69" s="2123"/>
      <c r="E69" s="2122"/>
      <c r="F69" s="2122"/>
      <c r="G69" s="2109" t="s">
        <v>1837</v>
      </c>
      <c r="H69" s="2107"/>
      <c r="I69" s="2107"/>
      <c r="J69" s="2107" t="s">
        <v>1636</v>
      </c>
      <c r="K69" s="2110"/>
      <c r="L69" s="2111"/>
      <c r="M69" s="2112">
        <f ca="1">M67+M68</f>
        <v>2606353.6635752004</v>
      </c>
      <c r="N69" s="2113"/>
      <c r="O69" s="2113"/>
      <c r="P69" s="1952"/>
      <c r="Q69" s="2025"/>
      <c r="R69" s="2025"/>
      <c r="S69" s="2025"/>
    </row>
    <row r="70" spans="1:19" s="474" customFormat="1" ht="45">
      <c r="A70" s="2124">
        <v>65</v>
      </c>
      <c r="B70" s="2125">
        <f>'Du toan XD'!B53</f>
        <v>5</v>
      </c>
      <c r="C70" s="2125"/>
      <c r="D70" s="2125" t="s">
        <v>1540</v>
      </c>
      <c r="E70" s="2126" t="s">
        <v>1540</v>
      </c>
      <c r="F70" s="2126"/>
      <c r="G70" s="2132" t="str">
        <f>'Du toan XD'!F53</f>
        <v>Đắp cát công trình bằng máy đầm đất cầm tay 70kg, độ chặt yêu cầu K=0,90</v>
      </c>
      <c r="H70" s="2126" t="str">
        <f>'Du toan XD'!G53</f>
        <v>100m³</v>
      </c>
      <c r="I70" s="2126">
        <f>'Du toan XD'!H53</f>
        <v>2.5499999999999998E-2</v>
      </c>
      <c r="J70" s="2127"/>
      <c r="K70" s="2128"/>
      <c r="L70" s="2129"/>
      <c r="M70" s="2128"/>
      <c r="N70" s="2130"/>
      <c r="O70" s="2131"/>
      <c r="P70" s="1952">
        <f>M71</f>
        <v>10370000</v>
      </c>
      <c r="Q70" s="2025"/>
      <c r="R70" s="2025">
        <f>M73</f>
        <v>873441</v>
      </c>
      <c r="S70" s="2025">
        <f>M75</f>
        <v>256245</v>
      </c>
    </row>
    <row r="71" spans="1:19" s="474" customFormat="1" ht="15">
      <c r="A71" s="2050"/>
      <c r="B71" s="2051"/>
      <c r="C71" s="2051"/>
      <c r="D71" s="2051"/>
      <c r="E71" s="2052"/>
      <c r="F71" s="2052"/>
      <c r="G71" s="2067" t="s">
        <v>224</v>
      </c>
      <c r="H71" s="2067"/>
      <c r="I71" s="2067"/>
      <c r="J71" s="2134"/>
      <c r="K71" s="2069"/>
      <c r="L71" s="2070"/>
      <c r="M71" s="2069">
        <f>ROUND(SUM(M72:M72),Config!C103)</f>
        <v>10370000</v>
      </c>
      <c r="N71" s="2056"/>
      <c r="O71" s="2057"/>
      <c r="P71" s="1952"/>
      <c r="Q71" s="2025"/>
      <c r="R71" s="2025"/>
      <c r="S71" s="2025"/>
    </row>
    <row r="72" spans="1:19" s="474" customFormat="1" ht="15">
      <c r="A72" s="2050"/>
      <c r="B72" s="2051"/>
      <c r="C72" s="2051"/>
      <c r="D72" s="2051"/>
      <c r="E72" s="2052"/>
      <c r="F72" s="2052" t="s">
        <v>1846</v>
      </c>
      <c r="G72" s="2053" t="s">
        <v>1847</v>
      </c>
      <c r="H72" s="2052" t="s">
        <v>1848</v>
      </c>
      <c r="I72" s="2052"/>
      <c r="J72" s="2073">
        <v>122</v>
      </c>
      <c r="K72" s="2170">
        <f>'TH vat tu XD'!G8</f>
        <v>85000</v>
      </c>
      <c r="L72" s="2054"/>
      <c r="M72" s="2055">
        <f>IF(L72=0,J72*K72,J72*K72*L72)</f>
        <v>10370000</v>
      </c>
      <c r="N72" s="2056">
        <f>IF(L72=0,I70*J72,I70*J72*L72)</f>
        <v>3.1109999999999998</v>
      </c>
      <c r="O72" s="2057"/>
      <c r="P72" s="1952"/>
      <c r="Q72" s="2025"/>
      <c r="R72" s="2025"/>
      <c r="S72" s="2025"/>
    </row>
    <row r="73" spans="1:19" s="474" customFormat="1" ht="15">
      <c r="A73" s="2050"/>
      <c r="B73" s="2051"/>
      <c r="C73" s="2051"/>
      <c r="D73" s="2051"/>
      <c r="E73" s="2052"/>
      <c r="F73" s="2052"/>
      <c r="G73" s="2067" t="s">
        <v>225</v>
      </c>
      <c r="H73" s="2067"/>
      <c r="I73" s="2067"/>
      <c r="J73" s="2134"/>
      <c r="K73" s="2069"/>
      <c r="L73" s="2070"/>
      <c r="M73" s="2069">
        <f>ROUND(SUM(M74:M74),Config!C103)</f>
        <v>873441</v>
      </c>
      <c r="N73" s="2056"/>
      <c r="O73" s="2057"/>
      <c r="P73" s="1952"/>
      <c r="Q73" s="2025"/>
      <c r="R73" s="2025"/>
      <c r="S73" s="2025"/>
    </row>
    <row r="74" spans="1:19" s="474" customFormat="1" ht="15">
      <c r="A74" s="2050"/>
      <c r="B74" s="2051"/>
      <c r="C74" s="2051"/>
      <c r="D74" s="2051"/>
      <c r="E74" s="2052"/>
      <c r="F74" s="2052" t="s">
        <v>1831</v>
      </c>
      <c r="G74" s="2053" t="s">
        <v>1832</v>
      </c>
      <c r="H74" s="2052" t="s">
        <v>1833</v>
      </c>
      <c r="I74" s="2052"/>
      <c r="J74" s="2073">
        <v>4.18</v>
      </c>
      <c r="K74" s="2170">
        <f>'TH vat tu XD'!G10</f>
        <v>208957.23684210525</v>
      </c>
      <c r="L74" s="2054"/>
      <c r="M74" s="2055">
        <f>IF(L74=0,J74*K74,J74*K74*L74)</f>
        <v>873441.24999999988</v>
      </c>
      <c r="N74" s="2056">
        <f>IF(L74=0,I70*J74,I70*J74*L74)</f>
        <v>0.10658999999999999</v>
      </c>
      <c r="O74" s="2057"/>
      <c r="P74" s="1952"/>
      <c r="Q74" s="2025"/>
      <c r="R74" s="2025"/>
      <c r="S74" s="2025"/>
    </row>
    <row r="75" spans="1:19" s="474" customFormat="1" ht="15">
      <c r="A75" s="2050"/>
      <c r="B75" s="2051"/>
      <c r="C75" s="2051"/>
      <c r="D75" s="2051"/>
      <c r="E75" s="2052"/>
      <c r="F75" s="2052"/>
      <c r="G75" s="2067" t="s">
        <v>228</v>
      </c>
      <c r="H75" s="2067"/>
      <c r="I75" s="2067"/>
      <c r="J75" s="2134"/>
      <c r="K75" s="2069"/>
      <c r="L75" s="2070"/>
      <c r="M75" s="2069">
        <f>ROUND(SUM(M76:M77),Config!C103)</f>
        <v>256245</v>
      </c>
      <c r="N75" s="2056"/>
      <c r="O75" s="2057"/>
      <c r="P75" s="1952"/>
      <c r="Q75" s="2025"/>
      <c r="R75" s="2025"/>
      <c r="S75" s="2025"/>
    </row>
    <row r="76" spans="1:19" s="474" customFormat="1" ht="15">
      <c r="A76" s="2050"/>
      <c r="B76" s="2051"/>
      <c r="C76" s="2051"/>
      <c r="D76" s="2051"/>
      <c r="E76" s="2052"/>
      <c r="F76" s="2052" t="s">
        <v>1839</v>
      </c>
      <c r="G76" s="2053" t="s">
        <v>1840</v>
      </c>
      <c r="H76" s="2052" t="s">
        <v>1836</v>
      </c>
      <c r="I76" s="2052"/>
      <c r="J76" s="2073">
        <v>2.0419999999999998</v>
      </c>
      <c r="K76" s="2170">
        <f>'TH vat tu XD'!G12</f>
        <v>123633</v>
      </c>
      <c r="L76" s="2054"/>
      <c r="M76" s="2055">
        <f>IF(L76=0,J76*K76,J76*K76*L76)</f>
        <v>252458.58599999998</v>
      </c>
      <c r="N76" s="2056">
        <f>IF(L76=0,I70*J76,I70*J76*L76)</f>
        <v>5.2070999999999992E-2</v>
      </c>
      <c r="O76" s="2057">
        <f>J77%*N76</f>
        <v>7.8106499999999984E-4</v>
      </c>
      <c r="P76" s="1952"/>
      <c r="Q76" s="2025"/>
      <c r="R76" s="2025"/>
      <c r="S76" s="2025"/>
    </row>
    <row r="77" spans="1:19" s="474" customFormat="1" ht="15">
      <c r="A77" s="2050"/>
      <c r="B77" s="2051"/>
      <c r="C77" s="2051"/>
      <c r="D77" s="2051"/>
      <c r="E77" s="2052"/>
      <c r="F77" s="2052" t="s">
        <v>1849</v>
      </c>
      <c r="G77" s="2053" t="s">
        <v>227</v>
      </c>
      <c r="H77" s="2052" t="s">
        <v>1850</v>
      </c>
      <c r="I77" s="2052"/>
      <c r="J77" s="2073">
        <v>1.5</v>
      </c>
      <c r="K77" s="2055"/>
      <c r="L77" s="2054"/>
      <c r="M77" s="2055">
        <f>SUM(M76:M76)*J77%</f>
        <v>3786.8787899999998</v>
      </c>
      <c r="N77" s="2056"/>
      <c r="O77" s="2057"/>
      <c r="P77" s="1952"/>
      <c r="Q77" s="2025"/>
      <c r="R77" s="2025"/>
      <c r="S77" s="2025"/>
    </row>
    <row r="78" spans="1:19" s="474" customFormat="1" ht="15" hidden="1">
      <c r="A78" s="2050"/>
      <c r="B78" s="2051"/>
      <c r="C78" s="2051"/>
      <c r="D78" s="2051"/>
      <c r="E78" s="2052"/>
      <c r="F78" s="2052"/>
      <c r="G78" s="2065" t="s">
        <v>109</v>
      </c>
      <c r="H78" s="2052"/>
      <c r="I78" s="2052"/>
      <c r="J78" s="2052" t="s">
        <v>333</v>
      </c>
      <c r="K78" s="2055"/>
      <c r="L78" s="2054"/>
      <c r="M78" s="2066">
        <f>M71+M73+M75</f>
        <v>11499686</v>
      </c>
      <c r="N78" s="2056"/>
      <c r="O78" s="2057"/>
      <c r="P78" s="1952"/>
      <c r="Q78" s="2025"/>
      <c r="R78" s="2025"/>
      <c r="S78" s="2025"/>
    </row>
    <row r="79" spans="1:19" s="474" customFormat="1" ht="15" hidden="1">
      <c r="A79" s="2050"/>
      <c r="B79" s="2051"/>
      <c r="C79" s="2051"/>
      <c r="D79" s="2051"/>
      <c r="E79" s="2052"/>
      <c r="F79" s="2052"/>
      <c r="G79" s="2065" t="s">
        <v>378</v>
      </c>
      <c r="H79" s="2052"/>
      <c r="I79" s="2052"/>
      <c r="J79" s="2052" t="str">
        <f ca="1">"T*"&amp;'THCP xay dung'!F19*100&amp;"%"</f>
        <v>T*6,2%</v>
      </c>
      <c r="K79" s="2055"/>
      <c r="L79" s="2054"/>
      <c r="M79" s="2066">
        <f ca="1">M78*'THCP xay dung'!F19*100%</f>
        <v>712980.53200000001</v>
      </c>
      <c r="N79" s="2056"/>
      <c r="O79" s="2057"/>
      <c r="P79" s="1952"/>
      <c r="Q79" s="2025"/>
      <c r="R79" s="2025"/>
      <c r="S79" s="2025"/>
    </row>
    <row r="80" spans="1:19" s="474" customFormat="1" ht="28.5" hidden="1">
      <c r="A80" s="2050"/>
      <c r="B80" s="2051"/>
      <c r="C80" s="2051"/>
      <c r="D80" s="2051"/>
      <c r="E80" s="2052"/>
      <c r="F80" s="2052"/>
      <c r="G80" s="2065" t="s">
        <v>702</v>
      </c>
      <c r="H80" s="2052"/>
      <c r="I80" s="2052"/>
      <c r="J80" s="2052" t="str">
        <f>IF('THCP xay dung'!G20&lt;&gt;1,"T*"&amp;'THCP xay dung'!F20*100&amp;"%"&amp;"*"&amp;'THCP xay dung'!G20,"T*"&amp;'THCP xay dung'!F20*100&amp;"%")</f>
        <v>T*1,1%</v>
      </c>
      <c r="K80" s="2055"/>
      <c r="L80" s="2054"/>
      <c r="M80" s="2066">
        <f>IF('THCP xay dung'!G20&lt;&gt;1,M78*'THCP xay dung'!F20*100%*'THCP xay dung'!G20,M78*'THCP xay dung'!F20*100%)</f>
        <v>126496.54600000002</v>
      </c>
      <c r="N80" s="2056"/>
      <c r="O80" s="2057"/>
      <c r="P80" s="1952"/>
      <c r="Q80" s="2025"/>
      <c r="R80" s="2025"/>
      <c r="S80" s="2025"/>
    </row>
    <row r="81" spans="1:19" s="474" customFormat="1" ht="42.75" hidden="1">
      <c r="A81" s="2050"/>
      <c r="B81" s="2051"/>
      <c r="C81" s="2051"/>
      <c r="D81" s="2051"/>
      <c r="E81" s="2052"/>
      <c r="F81" s="2052"/>
      <c r="G81" s="2065" t="s">
        <v>703</v>
      </c>
      <c r="H81" s="2052"/>
      <c r="I81" s="2052"/>
      <c r="J81" s="2052" t="str">
        <f ca="1">"T*"&amp;'THCP xay dung'!F21*100&amp;"%"</f>
        <v>T*2%</v>
      </c>
      <c r="K81" s="2055"/>
      <c r="L81" s="2054"/>
      <c r="M81" s="2066">
        <f ca="1">M78*'THCP xay dung'!F21*100%</f>
        <v>229993.72</v>
      </c>
      <c r="N81" s="2056"/>
      <c r="O81" s="2057"/>
      <c r="P81" s="1952"/>
      <c r="Q81" s="2025"/>
      <c r="R81" s="2025"/>
      <c r="S81" s="2025"/>
    </row>
    <row r="82" spans="1:19" s="474" customFormat="1" ht="15" hidden="1">
      <c r="A82" s="2050"/>
      <c r="B82" s="2051"/>
      <c r="C82" s="2051"/>
      <c r="D82" s="2051"/>
      <c r="E82" s="2052"/>
      <c r="F82" s="2052"/>
      <c r="G82" s="2065" t="s">
        <v>701</v>
      </c>
      <c r="H82" s="2052"/>
      <c r="I82" s="2052"/>
      <c r="J82" s="2052" t="s">
        <v>931</v>
      </c>
      <c r="K82" s="2055"/>
      <c r="L82" s="2054"/>
      <c r="M82" s="2066">
        <f ca="1">M79+M80+M81</f>
        <v>1069470.798</v>
      </c>
      <c r="N82" s="2056"/>
      <c r="O82" s="2057"/>
      <c r="P82" s="1952"/>
      <c r="Q82" s="2025"/>
      <c r="R82" s="2025"/>
      <c r="S82" s="2025"/>
    </row>
    <row r="83" spans="1:19" s="474" customFormat="1" ht="15" hidden="1">
      <c r="A83" s="2050"/>
      <c r="B83" s="2051"/>
      <c r="C83" s="2051"/>
      <c r="D83" s="2051"/>
      <c r="E83" s="2052"/>
      <c r="F83" s="2052"/>
      <c r="G83" s="2065" t="s">
        <v>574</v>
      </c>
      <c r="H83" s="2052"/>
      <c r="I83" s="2052"/>
      <c r="J83" s="2052" t="str">
        <f ca="1">"(T+GT)*"&amp;'THCP xay dung'!F23*100&amp;"%"</f>
        <v>(T+GT)*6%</v>
      </c>
      <c r="K83" s="2055"/>
      <c r="L83" s="2054"/>
      <c r="M83" s="2066">
        <f ca="1">(M78+M82)*'THCP xay dung'!F23*100%</f>
        <v>754149.40787999996</v>
      </c>
      <c r="N83" s="2056"/>
      <c r="O83" s="2057"/>
      <c r="P83" s="1952"/>
      <c r="Q83" s="2025"/>
      <c r="R83" s="2025"/>
      <c r="S83" s="2025"/>
    </row>
    <row r="84" spans="1:19" s="474" customFormat="1" ht="15" hidden="1">
      <c r="A84" s="2050"/>
      <c r="B84" s="2051"/>
      <c r="C84" s="2051"/>
      <c r="D84" s="2051"/>
      <c r="E84" s="2052"/>
      <c r="F84" s="2052"/>
      <c r="G84" s="2065" t="s">
        <v>113</v>
      </c>
      <c r="H84" s="2052"/>
      <c r="I84" s="2052"/>
      <c r="J84" s="2052" t="s">
        <v>705</v>
      </c>
      <c r="K84" s="2055"/>
      <c r="L84" s="2054"/>
      <c r="M84" s="2066">
        <f ca="1">M78+M82+M83</f>
        <v>13323306.205880001</v>
      </c>
      <c r="N84" s="2056"/>
      <c r="O84" s="2057"/>
      <c r="P84" s="1952"/>
      <c r="Q84" s="2025"/>
      <c r="R84" s="2025"/>
      <c r="S84" s="2025"/>
    </row>
    <row r="85" spans="1:19" s="474" customFormat="1" ht="15" hidden="1">
      <c r="A85" s="2050"/>
      <c r="B85" s="2051"/>
      <c r="C85" s="2051"/>
      <c r="D85" s="2051"/>
      <c r="E85" s="2052"/>
      <c r="F85" s="2052"/>
      <c r="G85" s="2065" t="s">
        <v>575</v>
      </c>
      <c r="H85" s="2052"/>
      <c r="I85" s="2052"/>
      <c r="J85" s="2052" t="str">
        <f>"G*"&amp;'THCP xay dung'!F25*100&amp;"%"</f>
        <v>G*10%</v>
      </c>
      <c r="K85" s="2055"/>
      <c r="L85" s="2054"/>
      <c r="M85" s="2066">
        <f ca="1">M84*'THCP xay dung'!F25*100%</f>
        <v>1332330.6205880002</v>
      </c>
      <c r="N85" s="2056"/>
      <c r="O85" s="2057"/>
      <c r="P85" s="1952"/>
      <c r="Q85" s="2025"/>
      <c r="R85" s="2025"/>
      <c r="S85" s="2025"/>
    </row>
    <row r="86" spans="1:19" s="474" customFormat="1" ht="15" hidden="1">
      <c r="A86" s="2050"/>
      <c r="B86" s="2051"/>
      <c r="C86" s="2051"/>
      <c r="D86" s="2051"/>
      <c r="E86" s="2052"/>
      <c r="F86" s="2052"/>
      <c r="G86" s="2065" t="s">
        <v>117</v>
      </c>
      <c r="H86" s="2052"/>
      <c r="I86" s="2052"/>
      <c r="J86" s="2052" t="s">
        <v>596</v>
      </c>
      <c r="K86" s="2055"/>
      <c r="L86" s="2054"/>
      <c r="M86" s="2066">
        <f ca="1">M84+M85</f>
        <v>14655636.826468002</v>
      </c>
      <c r="N86" s="2056"/>
      <c r="O86" s="2057"/>
      <c r="P86" s="1952"/>
      <c r="Q86" s="2025"/>
      <c r="R86" s="2025"/>
      <c r="S86" s="2025"/>
    </row>
    <row r="87" spans="1:19" s="474" customFormat="1" ht="15" hidden="1">
      <c r="A87" s="2050"/>
      <c r="B87" s="2051"/>
      <c r="C87" s="2051"/>
      <c r="D87" s="2051"/>
      <c r="E87" s="2052"/>
      <c r="F87" s="2052"/>
      <c r="G87" s="2065" t="s">
        <v>168</v>
      </c>
      <c r="H87" s="2052"/>
      <c r="I87" s="2052"/>
      <c r="J87" s="2052" t="str">
        <f ca="1">"GXD*"&amp;'THCP xay dung'!F27*100&amp;"%"</f>
        <v>GXD*6%</v>
      </c>
      <c r="K87" s="2055"/>
      <c r="L87" s="2054"/>
      <c r="M87" s="2066">
        <f ca="1">M86*'THCP xay dung'!F27*100%</f>
        <v>879338.20958808006</v>
      </c>
      <c r="N87" s="2056"/>
      <c r="O87" s="2057"/>
      <c r="P87" s="1952"/>
      <c r="Q87" s="2025"/>
      <c r="R87" s="2025"/>
      <c r="S87" s="2025"/>
    </row>
    <row r="88" spans="1:19" s="474" customFormat="1" ht="15" hidden="1">
      <c r="A88" s="2058" t="s">
        <v>304</v>
      </c>
      <c r="B88" s="2059"/>
      <c r="C88" s="2059"/>
      <c r="D88" s="2059"/>
      <c r="E88" s="2060"/>
      <c r="F88" s="2060"/>
      <c r="G88" s="2075" t="s">
        <v>1837</v>
      </c>
      <c r="H88" s="2060"/>
      <c r="I88" s="2060"/>
      <c r="J88" s="2060" t="s">
        <v>1636</v>
      </c>
      <c r="K88" s="2062"/>
      <c r="L88" s="2061"/>
      <c r="M88" s="2074">
        <f ca="1">M86+M87</f>
        <v>15534975.036056083</v>
      </c>
      <c r="N88" s="2063"/>
      <c r="O88" s="2064"/>
      <c r="P88" s="1952"/>
      <c r="Q88" s="2025"/>
      <c r="R88" s="2025"/>
      <c r="S88" s="2025"/>
    </row>
    <row r="89" spans="1:19" s="474" customFormat="1" ht="15">
      <c r="A89" s="2136" t="str">
        <f>'Du toan XD'!A65</f>
        <v>HM2</v>
      </c>
      <c r="B89" s="2137" t="str">
        <f>'Du toan XD'!E65</f>
        <v>HM</v>
      </c>
      <c r="C89" s="2137"/>
      <c r="D89" s="2137"/>
      <c r="E89" s="2138"/>
      <c r="F89" s="2138"/>
      <c r="G89" s="2138" t="str">
        <f>'Du toan XD'!F65</f>
        <v>PHẦN MÓNG</v>
      </c>
      <c r="H89" s="2139"/>
      <c r="I89" s="2139"/>
      <c r="J89" s="1953"/>
      <c r="K89" s="1954"/>
      <c r="L89" s="1953"/>
      <c r="M89" s="1955"/>
      <c r="N89" s="2025"/>
      <c r="O89" s="2025"/>
      <c r="P89" s="2025"/>
      <c r="Q89" s="2025"/>
      <c r="R89" s="2025"/>
      <c r="S89" s="2025"/>
    </row>
    <row r="90" spans="1:19" s="474" customFormat="1" ht="45">
      <c r="A90" s="2042">
        <v>66</v>
      </c>
      <c r="B90" s="2043">
        <f>'Du toan XD'!B66</f>
        <v>1</v>
      </c>
      <c r="C90" s="2043" t="s">
        <v>1851</v>
      </c>
      <c r="D90" s="2043" t="s">
        <v>1852</v>
      </c>
      <c r="E90" s="2044" t="s">
        <v>1541</v>
      </c>
      <c r="F90" s="2044"/>
      <c r="G90" s="2045" t="str">
        <f>'Du toan XD'!F66</f>
        <v>Xây móng bằng đá hộc, chiều dày &gt;60cm, vữa XM PCB30 mác 50</v>
      </c>
      <c r="H90" s="2044" t="str">
        <f>'Du toan XD'!G66</f>
        <v>m³</v>
      </c>
      <c r="I90" s="2044">
        <f>'Du toan XD'!H66</f>
        <v>28.5749</v>
      </c>
      <c r="J90" s="2046"/>
      <c r="K90" s="2047"/>
      <c r="L90" s="2046"/>
      <c r="M90" s="2047"/>
      <c r="N90" s="2048"/>
      <c r="O90" s="2049"/>
      <c r="P90" s="1952">
        <f>M91</f>
        <v>527216</v>
      </c>
      <c r="Q90" s="2025"/>
      <c r="R90" s="2025">
        <f>M97</f>
        <v>397590</v>
      </c>
      <c r="S90" s="2025">
        <f>M99</f>
        <v>2556</v>
      </c>
    </row>
    <row r="91" spans="1:19" s="474" customFormat="1" ht="15">
      <c r="A91" s="2050"/>
      <c r="B91" s="2051"/>
      <c r="C91" s="2051"/>
      <c r="D91" s="2051"/>
      <c r="E91" s="2052"/>
      <c r="F91" s="2052"/>
      <c r="G91" s="2067" t="s">
        <v>224</v>
      </c>
      <c r="H91" s="2067"/>
      <c r="I91" s="2067"/>
      <c r="J91" s="2071"/>
      <c r="K91" s="2069"/>
      <c r="L91" s="2070"/>
      <c r="M91" s="2069">
        <f>ROUND(SUM(M92:M96),Config!C103)</f>
        <v>527216</v>
      </c>
      <c r="N91" s="2056"/>
      <c r="O91" s="2057"/>
      <c r="P91" s="1952"/>
      <c r="Q91" s="2025"/>
      <c r="R91" s="2025"/>
      <c r="S91" s="2025"/>
    </row>
    <row r="92" spans="1:19" s="474" customFormat="1" ht="15">
      <c r="A92" s="2050"/>
      <c r="B92" s="2051"/>
      <c r="C92" s="2051" t="s">
        <v>1851</v>
      </c>
      <c r="D92" s="2051"/>
      <c r="E92" s="2052"/>
      <c r="F92" s="2052" t="s">
        <v>1854</v>
      </c>
      <c r="G92" s="2053" t="s">
        <v>1855</v>
      </c>
      <c r="H92" s="2052" t="s">
        <v>1856</v>
      </c>
      <c r="I92" s="2052"/>
      <c r="J92" s="2054">
        <f>226*0.42</f>
        <v>94.92</v>
      </c>
      <c r="K92" s="2170">
        <f>'TH vat tu XD'!G38</f>
        <v>1280</v>
      </c>
      <c r="L92" s="2054"/>
      <c r="M92" s="2055">
        <f>IF(L92=0,J92*K92,J92*K92*L92)</f>
        <v>121497.60000000001</v>
      </c>
      <c r="N92" s="2056">
        <f>IF(L92=0,I90*J92,I90*J92*L92)</f>
        <v>2712.3295079999998</v>
      </c>
      <c r="O92" s="2057"/>
      <c r="P92" s="1952"/>
      <c r="Q92" s="2025"/>
      <c r="R92" s="2025"/>
      <c r="S92" s="2025"/>
    </row>
    <row r="93" spans="1:19" s="474" customFormat="1" ht="15">
      <c r="A93" s="2050"/>
      <c r="B93" s="2051"/>
      <c r="C93" s="2051" t="s">
        <v>1851</v>
      </c>
      <c r="D93" s="2051"/>
      <c r="E93" s="2052"/>
      <c r="F93" s="2052" t="s">
        <v>1857</v>
      </c>
      <c r="G93" s="2053" t="s">
        <v>1858</v>
      </c>
      <c r="H93" s="2052" t="s">
        <v>1848</v>
      </c>
      <c r="I93" s="2052"/>
      <c r="J93" s="2054">
        <f>1.193*0.42</f>
        <v>0.50106000000000006</v>
      </c>
      <c r="K93" s="2170">
        <f>'TH vat tu XD'!G24</f>
        <v>435000</v>
      </c>
      <c r="L93" s="2054"/>
      <c r="M93" s="2055">
        <f>IF(L93=0,J93*K93,J93*K93*L93)</f>
        <v>217961.10000000003</v>
      </c>
      <c r="N93" s="2056">
        <f>IF(L93=0,I90*J93,I90*J93*L93)</f>
        <v>14.317739394000002</v>
      </c>
      <c r="O93" s="2057"/>
      <c r="P93" s="1952"/>
      <c r="Q93" s="2025"/>
      <c r="R93" s="2025"/>
      <c r="S93" s="2025"/>
    </row>
    <row r="94" spans="1:19" s="474" customFormat="1" ht="15">
      <c r="A94" s="2050"/>
      <c r="B94" s="2051"/>
      <c r="C94" s="2051" t="s">
        <v>1851</v>
      </c>
      <c r="D94" s="2051"/>
      <c r="E94" s="2052"/>
      <c r="F94" s="2052" t="s">
        <v>1859</v>
      </c>
      <c r="G94" s="2053" t="s">
        <v>1860</v>
      </c>
      <c r="H94" s="2052" t="s">
        <v>1861</v>
      </c>
      <c r="I94" s="2052"/>
      <c r="J94" s="2054">
        <f>273*0.42</f>
        <v>114.66</v>
      </c>
      <c r="K94" s="2170">
        <f>'TH vat tu XD'!G34</f>
        <v>8</v>
      </c>
      <c r="L94" s="2054"/>
      <c r="M94" s="2055">
        <f>IF(L94=0,J94*K94,J94*K94*L94)</f>
        <v>917.28</v>
      </c>
      <c r="N94" s="2056">
        <f>IF(L94=0,I90*J94,I90*J94*L94)</f>
        <v>3276.3980339999998</v>
      </c>
      <c r="O94" s="2057"/>
      <c r="P94" s="1952"/>
      <c r="Q94" s="2025"/>
      <c r="R94" s="2025"/>
      <c r="S94" s="2025"/>
    </row>
    <row r="95" spans="1:19" s="474" customFormat="1" ht="15">
      <c r="A95" s="2050"/>
      <c r="B95" s="2051"/>
      <c r="C95" s="2051"/>
      <c r="D95" s="2051"/>
      <c r="E95" s="2052"/>
      <c r="F95" s="2052" t="s">
        <v>1862</v>
      </c>
      <c r="G95" s="2053" t="s">
        <v>1863</v>
      </c>
      <c r="H95" s="2052" t="s">
        <v>1848</v>
      </c>
      <c r="I95" s="2052"/>
      <c r="J95" s="2054">
        <v>1.2</v>
      </c>
      <c r="K95" s="2170">
        <f>'TH vat tu XD'!G28</f>
        <v>150000</v>
      </c>
      <c r="L95" s="2054"/>
      <c r="M95" s="2055">
        <f>IF(L95=0,J95*K95,J95*K95*L95)</f>
        <v>180000</v>
      </c>
      <c r="N95" s="2056">
        <f>IF(L95=0,I90*J95,I90*J95*L95)</f>
        <v>34.289879999999997</v>
      </c>
      <c r="O95" s="2057"/>
      <c r="P95" s="1952"/>
      <c r="Q95" s="2025"/>
      <c r="R95" s="2025"/>
      <c r="S95" s="2025"/>
    </row>
    <row r="96" spans="1:19" s="474" customFormat="1" ht="15">
      <c r="A96" s="2050"/>
      <c r="B96" s="2051"/>
      <c r="C96" s="2051"/>
      <c r="D96" s="2051"/>
      <c r="E96" s="2052"/>
      <c r="F96" s="2052" t="s">
        <v>1864</v>
      </c>
      <c r="G96" s="2053" t="s">
        <v>1865</v>
      </c>
      <c r="H96" s="2052" t="s">
        <v>1848</v>
      </c>
      <c r="I96" s="2052"/>
      <c r="J96" s="2054">
        <v>5.7000000000000002E-2</v>
      </c>
      <c r="K96" s="2170">
        <f>'TH vat tu XD'!G27</f>
        <v>120000</v>
      </c>
      <c r="L96" s="2054"/>
      <c r="M96" s="2055">
        <f>IF(L96=0,J96*K96,J96*K96*L96)</f>
        <v>6840</v>
      </c>
      <c r="N96" s="2056">
        <f>IF(L96=0,I90*J96,I90*J96*L96)</f>
        <v>1.6287693000000001</v>
      </c>
      <c r="O96" s="2057"/>
      <c r="P96" s="1952"/>
      <c r="Q96" s="2025"/>
      <c r="R96" s="2025"/>
      <c r="S96" s="2025"/>
    </row>
    <row r="97" spans="1:19" s="474" customFormat="1" ht="15">
      <c r="A97" s="2050"/>
      <c r="B97" s="2051"/>
      <c r="C97" s="2051"/>
      <c r="D97" s="2051"/>
      <c r="E97" s="2052"/>
      <c r="F97" s="2052"/>
      <c r="G97" s="2067" t="s">
        <v>225</v>
      </c>
      <c r="H97" s="2067"/>
      <c r="I97" s="2067"/>
      <c r="J97" s="2071"/>
      <c r="K97" s="2069"/>
      <c r="L97" s="2070"/>
      <c r="M97" s="2069">
        <f>ROUND(SUM(M98:M98),Config!C103)</f>
        <v>397590</v>
      </c>
      <c r="N97" s="2056"/>
      <c r="O97" s="2057"/>
      <c r="P97" s="1952"/>
      <c r="Q97" s="2025"/>
      <c r="R97" s="2025"/>
      <c r="S97" s="2025"/>
    </row>
    <row r="98" spans="1:19" s="474" customFormat="1" ht="15">
      <c r="A98" s="2050"/>
      <c r="B98" s="2051"/>
      <c r="C98" s="2051"/>
      <c r="D98" s="2051"/>
      <c r="E98" s="2052"/>
      <c r="F98" s="2052" t="s">
        <v>1866</v>
      </c>
      <c r="G98" s="2053" t="s">
        <v>1867</v>
      </c>
      <c r="H98" s="2052" t="s">
        <v>1833</v>
      </c>
      <c r="I98" s="2052"/>
      <c r="J98" s="2054">
        <v>1.74</v>
      </c>
      <c r="K98" s="2170">
        <f>'TH vat tu XD'!G42</f>
        <v>228500</v>
      </c>
      <c r="L98" s="2054"/>
      <c r="M98" s="2055">
        <f>IF(L98=0,J98*K98,J98*K98*L98)</f>
        <v>397590</v>
      </c>
      <c r="N98" s="2056">
        <f>IF(L98=0,I90*J98,I90*J98*L98)</f>
        <v>49.720326</v>
      </c>
      <c r="O98" s="2057"/>
      <c r="P98" s="1952"/>
      <c r="Q98" s="2025"/>
      <c r="R98" s="2025"/>
      <c r="S98" s="2025"/>
    </row>
    <row r="99" spans="1:19" s="474" customFormat="1" ht="15">
      <c r="A99" s="2050"/>
      <c r="B99" s="2051"/>
      <c r="C99" s="2051"/>
      <c r="D99" s="2051"/>
      <c r="E99" s="2052"/>
      <c r="F99" s="2052"/>
      <c r="G99" s="2067" t="s">
        <v>228</v>
      </c>
      <c r="H99" s="2067"/>
      <c r="I99" s="2067"/>
      <c r="J99" s="2071"/>
      <c r="K99" s="2069"/>
      <c r="L99" s="2070"/>
      <c r="M99" s="2069">
        <f>ROUND(SUM(M100:M100),Config!C103)</f>
        <v>2556</v>
      </c>
      <c r="N99" s="2056"/>
      <c r="O99" s="2057"/>
      <c r="P99" s="1952"/>
      <c r="Q99" s="2025"/>
      <c r="R99" s="2025"/>
      <c r="S99" s="2025"/>
    </row>
    <row r="100" spans="1:19" s="474" customFormat="1" ht="15">
      <c r="A100" s="2050"/>
      <c r="B100" s="2051"/>
      <c r="C100" s="2051"/>
      <c r="D100" s="2051"/>
      <c r="E100" s="2052"/>
      <c r="F100" s="2052" t="s">
        <v>1868</v>
      </c>
      <c r="G100" s="2053" t="s">
        <v>1869</v>
      </c>
      <c r="H100" s="2052" t="s">
        <v>1836</v>
      </c>
      <c r="I100" s="2052"/>
      <c r="J100" s="2054">
        <v>5.2999999999999999E-2</v>
      </c>
      <c r="K100" s="2170">
        <f>'TH vat tu XD'!G49</f>
        <v>48226</v>
      </c>
      <c r="L100" s="2054"/>
      <c r="M100" s="2055">
        <f>IF(L100=0,J100*K100,J100*K100*L100)</f>
        <v>2555.9780000000001</v>
      </c>
      <c r="N100" s="2056">
        <f>IF(L100=0,I90*J100,I90*J100*L100)</f>
        <v>1.5144697</v>
      </c>
      <c r="O100" s="2057"/>
      <c r="P100" s="1952"/>
      <c r="Q100" s="2025"/>
      <c r="R100" s="2025"/>
      <c r="S100" s="2025"/>
    </row>
    <row r="101" spans="1:19" s="474" customFormat="1" ht="15" hidden="1">
      <c r="A101" s="2050"/>
      <c r="B101" s="2051"/>
      <c r="C101" s="2051"/>
      <c r="D101" s="2051"/>
      <c r="E101" s="2052"/>
      <c r="F101" s="2052"/>
      <c r="G101" s="2065" t="s">
        <v>109</v>
      </c>
      <c r="H101" s="2052"/>
      <c r="I101" s="2052"/>
      <c r="J101" s="2052" t="s">
        <v>333</v>
      </c>
      <c r="K101" s="2055"/>
      <c r="L101" s="2054"/>
      <c r="M101" s="2066">
        <f>M91+M97+M99</f>
        <v>927362</v>
      </c>
      <c r="N101" s="2056"/>
      <c r="O101" s="2057"/>
      <c r="P101" s="1952"/>
      <c r="Q101" s="2025"/>
      <c r="R101" s="2025"/>
      <c r="S101" s="2025"/>
    </row>
    <row r="102" spans="1:19" s="474" customFormat="1" ht="15" hidden="1">
      <c r="A102" s="2050"/>
      <c r="B102" s="2051"/>
      <c r="C102" s="2051"/>
      <c r="D102" s="2051"/>
      <c r="E102" s="2052"/>
      <c r="F102" s="2052"/>
      <c r="G102" s="2065" t="s">
        <v>378</v>
      </c>
      <c r="H102" s="2052"/>
      <c r="I102" s="2052"/>
      <c r="J102" s="2052" t="str">
        <f ca="1">"T*"&amp;'THCP xay dung'!F48*100&amp;"%"</f>
        <v>T*6,2%</v>
      </c>
      <c r="K102" s="2055"/>
      <c r="L102" s="2054"/>
      <c r="M102" s="2066">
        <f ca="1">M101*'THCP xay dung'!F48*100%</f>
        <v>57496.444000000003</v>
      </c>
      <c r="N102" s="2056"/>
      <c r="O102" s="2057"/>
      <c r="P102" s="1952"/>
      <c r="Q102" s="2025"/>
      <c r="R102" s="2025"/>
      <c r="S102" s="2025"/>
    </row>
    <row r="103" spans="1:19" s="474" customFormat="1" ht="28.5" hidden="1">
      <c r="A103" s="2050"/>
      <c r="B103" s="2051"/>
      <c r="C103" s="2051"/>
      <c r="D103" s="2051"/>
      <c r="E103" s="2052"/>
      <c r="F103" s="2052"/>
      <c r="G103" s="2065" t="s">
        <v>702</v>
      </c>
      <c r="H103" s="2052"/>
      <c r="I103" s="2052"/>
      <c r="J103" s="2052" t="str">
        <f>IF('THCP xay dung'!G49&lt;&gt;1,"T*"&amp;'THCP xay dung'!F49*100&amp;"%"&amp;"*"&amp;'THCP xay dung'!G49,"T*"&amp;'THCP xay dung'!F49*100&amp;"%")</f>
        <v>T*1,1%</v>
      </c>
      <c r="K103" s="2055"/>
      <c r="L103" s="2054"/>
      <c r="M103" s="2066">
        <f>IF('THCP xay dung'!G49&lt;&gt;1,M101*'THCP xay dung'!F49*100%*'THCP xay dung'!G49,M101*'THCP xay dung'!F49*100%)</f>
        <v>10200.982000000002</v>
      </c>
      <c r="N103" s="2056"/>
      <c r="O103" s="2057"/>
      <c r="P103" s="1952"/>
      <c r="Q103" s="2025"/>
      <c r="R103" s="2025"/>
      <c r="S103" s="2025"/>
    </row>
    <row r="104" spans="1:19" s="474" customFormat="1" ht="42.75" hidden="1">
      <c r="A104" s="2050"/>
      <c r="B104" s="2051"/>
      <c r="C104" s="2051"/>
      <c r="D104" s="2051"/>
      <c r="E104" s="2052"/>
      <c r="F104" s="2052"/>
      <c r="G104" s="2065" t="s">
        <v>703</v>
      </c>
      <c r="H104" s="2052"/>
      <c r="I104" s="2052"/>
      <c r="J104" s="2052" t="str">
        <f ca="1">"T*"&amp;'THCP xay dung'!F50*100&amp;"%"</f>
        <v>T*2%</v>
      </c>
      <c r="K104" s="2055"/>
      <c r="L104" s="2054"/>
      <c r="M104" s="2066">
        <f ca="1">M101*'THCP xay dung'!F50*100%</f>
        <v>18547.240000000002</v>
      </c>
      <c r="N104" s="2056"/>
      <c r="O104" s="2057"/>
      <c r="P104" s="1952"/>
      <c r="Q104" s="2025"/>
      <c r="R104" s="2025"/>
      <c r="S104" s="2025"/>
    </row>
    <row r="105" spans="1:19" s="474" customFormat="1" ht="15" hidden="1">
      <c r="A105" s="2050"/>
      <c r="B105" s="2051"/>
      <c r="C105" s="2051"/>
      <c r="D105" s="2051"/>
      <c r="E105" s="2052"/>
      <c r="F105" s="2052"/>
      <c r="G105" s="2065" t="s">
        <v>701</v>
      </c>
      <c r="H105" s="2052"/>
      <c r="I105" s="2052"/>
      <c r="J105" s="2052" t="s">
        <v>931</v>
      </c>
      <c r="K105" s="2055"/>
      <c r="L105" s="2054"/>
      <c r="M105" s="2066">
        <f ca="1">M102+M103+M104</f>
        <v>86244.666000000012</v>
      </c>
      <c r="N105" s="2056"/>
      <c r="O105" s="2057"/>
      <c r="P105" s="1952"/>
      <c r="Q105" s="2025"/>
      <c r="R105" s="2025"/>
      <c r="S105" s="2025"/>
    </row>
    <row r="106" spans="1:19" s="474" customFormat="1" ht="15" hidden="1">
      <c r="A106" s="2050"/>
      <c r="B106" s="2051"/>
      <c r="C106" s="2051"/>
      <c r="D106" s="2051"/>
      <c r="E106" s="2052"/>
      <c r="F106" s="2052"/>
      <c r="G106" s="2065" t="s">
        <v>574</v>
      </c>
      <c r="H106" s="2052"/>
      <c r="I106" s="2052"/>
      <c r="J106" s="2052" t="str">
        <f ca="1">"(T+GT)*"&amp;'THCP xay dung'!F52*100&amp;"%"</f>
        <v>(T+GT)*6%</v>
      </c>
      <c r="K106" s="2055"/>
      <c r="L106" s="2054"/>
      <c r="M106" s="2066">
        <f ca="1">(M101+M105)*'THCP xay dung'!F52*100%</f>
        <v>60816.399959999995</v>
      </c>
      <c r="N106" s="2056"/>
      <c r="O106" s="2057"/>
      <c r="P106" s="1952"/>
      <c r="Q106" s="2025"/>
      <c r="R106" s="2025"/>
      <c r="S106" s="2025"/>
    </row>
    <row r="107" spans="1:19" s="474" customFormat="1" ht="15" hidden="1">
      <c r="A107" s="2050"/>
      <c r="B107" s="2051"/>
      <c r="C107" s="2051"/>
      <c r="D107" s="2051"/>
      <c r="E107" s="2052"/>
      <c r="F107" s="2052"/>
      <c r="G107" s="2065" t="s">
        <v>113</v>
      </c>
      <c r="H107" s="2052"/>
      <c r="I107" s="2052"/>
      <c r="J107" s="2052" t="s">
        <v>705</v>
      </c>
      <c r="K107" s="2055"/>
      <c r="L107" s="2054"/>
      <c r="M107" s="2066">
        <f ca="1">M101+M105+M106</f>
        <v>1074423.06596</v>
      </c>
      <c r="N107" s="2056"/>
      <c r="O107" s="2057"/>
      <c r="P107" s="1952"/>
      <c r="Q107" s="2025"/>
      <c r="R107" s="2025"/>
      <c r="S107" s="2025"/>
    </row>
    <row r="108" spans="1:19" s="474" customFormat="1" ht="15" hidden="1">
      <c r="A108" s="2050"/>
      <c r="B108" s="2051"/>
      <c r="C108" s="2051"/>
      <c r="D108" s="2051"/>
      <c r="E108" s="2052"/>
      <c r="F108" s="2052"/>
      <c r="G108" s="2065" t="s">
        <v>575</v>
      </c>
      <c r="H108" s="2052"/>
      <c r="I108" s="2052"/>
      <c r="J108" s="2052" t="str">
        <f>"G*"&amp;'THCP xay dung'!F54*100&amp;"%"</f>
        <v>G*10%</v>
      </c>
      <c r="K108" s="2055"/>
      <c r="L108" s="2054"/>
      <c r="M108" s="2066">
        <f ca="1">M107*'THCP xay dung'!F54*100%</f>
        <v>107442.30659600001</v>
      </c>
      <c r="N108" s="2056"/>
      <c r="O108" s="2057"/>
      <c r="P108" s="1952"/>
      <c r="Q108" s="2025"/>
      <c r="R108" s="2025"/>
      <c r="S108" s="2025"/>
    </row>
    <row r="109" spans="1:19" s="474" customFormat="1" ht="15" hidden="1">
      <c r="A109" s="2050"/>
      <c r="B109" s="2051"/>
      <c r="C109" s="2051"/>
      <c r="D109" s="2051"/>
      <c r="E109" s="2052"/>
      <c r="F109" s="2052"/>
      <c r="G109" s="2065" t="s">
        <v>117</v>
      </c>
      <c r="H109" s="2052"/>
      <c r="I109" s="2052"/>
      <c r="J109" s="2052" t="s">
        <v>596</v>
      </c>
      <c r="K109" s="2055"/>
      <c r="L109" s="2054"/>
      <c r="M109" s="2066">
        <f ca="1">M107+M108</f>
        <v>1181865.372556</v>
      </c>
      <c r="N109" s="2056"/>
      <c r="O109" s="2057"/>
      <c r="P109" s="1952"/>
      <c r="Q109" s="2025"/>
      <c r="R109" s="2025"/>
      <c r="S109" s="2025"/>
    </row>
    <row r="110" spans="1:19" s="474" customFormat="1" ht="15" hidden="1">
      <c r="A110" s="2050"/>
      <c r="B110" s="2051"/>
      <c r="C110" s="2051"/>
      <c r="D110" s="2051"/>
      <c r="E110" s="2052"/>
      <c r="F110" s="2052"/>
      <c r="G110" s="2065" t="s">
        <v>168</v>
      </c>
      <c r="H110" s="2052"/>
      <c r="I110" s="2052"/>
      <c r="J110" s="2052" t="str">
        <f ca="1">"GXD*"&amp;'THCP xay dung'!F56*100&amp;"%"</f>
        <v>GXD*6%</v>
      </c>
      <c r="K110" s="2055"/>
      <c r="L110" s="2054"/>
      <c r="M110" s="2066">
        <f ca="1">M109*'THCP xay dung'!F56*100%</f>
        <v>70911.922353360002</v>
      </c>
      <c r="N110" s="2056"/>
      <c r="O110" s="2057"/>
      <c r="P110" s="1952"/>
      <c r="Q110" s="2025"/>
      <c r="R110" s="2025"/>
      <c r="S110" s="2025"/>
    </row>
    <row r="111" spans="1:19" s="474" customFormat="1" ht="15" hidden="1">
      <c r="A111" s="2090" t="s">
        <v>304</v>
      </c>
      <c r="B111" s="2091"/>
      <c r="C111" s="2091"/>
      <c r="D111" s="2091"/>
      <c r="E111" s="2092"/>
      <c r="F111" s="2092"/>
      <c r="G111" s="2075" t="s">
        <v>1837</v>
      </c>
      <c r="H111" s="2060"/>
      <c r="I111" s="2060"/>
      <c r="J111" s="2060" t="s">
        <v>1636</v>
      </c>
      <c r="K111" s="2062"/>
      <c r="L111" s="2061"/>
      <c r="M111" s="2074">
        <f ca="1">M109+M110</f>
        <v>1252777.2949093601</v>
      </c>
      <c r="N111" s="2063"/>
      <c r="O111" s="2064"/>
      <c r="P111" s="1952"/>
      <c r="Q111" s="2025"/>
      <c r="R111" s="2025"/>
      <c r="S111" s="2025"/>
    </row>
    <row r="112" spans="1:19" s="474" customFormat="1" ht="45">
      <c r="A112" s="2093">
        <v>67</v>
      </c>
      <c r="B112" s="2094">
        <f>'Du toan XD'!B77</f>
        <v>2</v>
      </c>
      <c r="C112" s="2094" t="s">
        <v>1851</v>
      </c>
      <c r="D112" s="2094" t="s">
        <v>1870</v>
      </c>
      <c r="E112" s="2093" t="s">
        <v>1542</v>
      </c>
      <c r="F112" s="2093"/>
      <c r="G112" s="2114" t="str">
        <f>'Du toan XD'!F77</f>
        <v>Xây móng bằng đá hộc, chiều dày ≤60cm, vữa XM PCB30 mác 50</v>
      </c>
      <c r="H112" s="2093" t="str">
        <f>'Du toan XD'!G77</f>
        <v>m³</v>
      </c>
      <c r="I112" s="2093">
        <f>'Du toan XD'!H77</f>
        <v>3.8692000000000002</v>
      </c>
      <c r="J112" s="2095"/>
      <c r="K112" s="2096"/>
      <c r="L112" s="2097"/>
      <c r="M112" s="2096"/>
      <c r="N112" s="2098"/>
      <c r="O112" s="2098"/>
      <c r="P112" s="1952">
        <f>M113</f>
        <v>527216</v>
      </c>
      <c r="Q112" s="2025"/>
      <c r="R112" s="2025">
        <f>M119</f>
        <v>413585</v>
      </c>
      <c r="S112" s="2025">
        <f>M121</f>
        <v>2556</v>
      </c>
    </row>
    <row r="113" spans="1:19" s="474" customFormat="1" ht="15">
      <c r="A113" s="2099"/>
      <c r="B113" s="2100"/>
      <c r="C113" s="2100"/>
      <c r="D113" s="2100"/>
      <c r="E113" s="2099"/>
      <c r="F113" s="2099"/>
      <c r="G113" s="2116" t="s">
        <v>224</v>
      </c>
      <c r="H113" s="2116"/>
      <c r="I113" s="2116"/>
      <c r="J113" s="2120"/>
      <c r="K113" s="2118"/>
      <c r="L113" s="2119"/>
      <c r="M113" s="2118">
        <f>ROUND(SUM(M114:M118),Config!C103)</f>
        <v>527216</v>
      </c>
      <c r="N113" s="2106"/>
      <c r="O113" s="2106"/>
      <c r="P113" s="1952"/>
      <c r="Q113" s="2025"/>
      <c r="R113" s="2025"/>
      <c r="S113" s="2025"/>
    </row>
    <row r="114" spans="1:19" s="474" customFormat="1" ht="15">
      <c r="A114" s="2099"/>
      <c r="B114" s="2100"/>
      <c r="C114" s="2100" t="s">
        <v>1851</v>
      </c>
      <c r="D114" s="2100"/>
      <c r="E114" s="2099"/>
      <c r="F114" s="2099" t="s">
        <v>1854</v>
      </c>
      <c r="G114" s="2115" t="s">
        <v>1855</v>
      </c>
      <c r="H114" s="2099" t="s">
        <v>1856</v>
      </c>
      <c r="I114" s="2099"/>
      <c r="J114" s="2102">
        <f>226*0.42</f>
        <v>94.92</v>
      </c>
      <c r="K114" s="2171">
        <f>'TH vat tu XD'!G38</f>
        <v>1280</v>
      </c>
      <c r="L114" s="2104"/>
      <c r="M114" s="2103">
        <f>IF(L114=0,J114*K114,J114*K114*L114)</f>
        <v>121497.60000000001</v>
      </c>
      <c r="N114" s="2106">
        <f>IF(L114=0,I112*J114,I112*J114*L114)</f>
        <v>367.26446400000003</v>
      </c>
      <c r="O114" s="2106"/>
      <c r="P114" s="1952"/>
      <c r="Q114" s="2025"/>
      <c r="R114" s="2025"/>
      <c r="S114" s="2025"/>
    </row>
    <row r="115" spans="1:19" s="474" customFormat="1" ht="15">
      <c r="A115" s="2099"/>
      <c r="B115" s="2100"/>
      <c r="C115" s="2100" t="s">
        <v>1851</v>
      </c>
      <c r="D115" s="2100"/>
      <c r="E115" s="2099"/>
      <c r="F115" s="2099" t="s">
        <v>1857</v>
      </c>
      <c r="G115" s="2115" t="s">
        <v>1858</v>
      </c>
      <c r="H115" s="2099" t="s">
        <v>1848</v>
      </c>
      <c r="I115" s="2099"/>
      <c r="J115" s="2102">
        <f>1.193*0.42</f>
        <v>0.50106000000000006</v>
      </c>
      <c r="K115" s="2171">
        <f>'TH vat tu XD'!G24</f>
        <v>435000</v>
      </c>
      <c r="L115" s="2104"/>
      <c r="M115" s="2103">
        <f>IF(L115=0,J115*K115,J115*K115*L115)</f>
        <v>217961.10000000003</v>
      </c>
      <c r="N115" s="2106">
        <f>IF(L115=0,I112*J115,I112*J115*L115)</f>
        <v>1.9387013520000003</v>
      </c>
      <c r="O115" s="2106"/>
      <c r="P115" s="1952"/>
      <c r="Q115" s="2025"/>
      <c r="R115" s="2025"/>
      <c r="S115" s="2025"/>
    </row>
    <row r="116" spans="1:19" s="474" customFormat="1" ht="15">
      <c r="A116" s="2099"/>
      <c r="B116" s="2100"/>
      <c r="C116" s="2100" t="s">
        <v>1851</v>
      </c>
      <c r="D116" s="2100"/>
      <c r="E116" s="2099"/>
      <c r="F116" s="2099" t="s">
        <v>1859</v>
      </c>
      <c r="G116" s="2115" t="s">
        <v>1860</v>
      </c>
      <c r="H116" s="2099" t="s">
        <v>1861</v>
      </c>
      <c r="I116" s="2099"/>
      <c r="J116" s="2102">
        <f>273*0.42</f>
        <v>114.66</v>
      </c>
      <c r="K116" s="2171">
        <f>'TH vat tu XD'!G34</f>
        <v>8</v>
      </c>
      <c r="L116" s="2104"/>
      <c r="M116" s="2103">
        <f>IF(L116=0,J116*K116,J116*K116*L116)</f>
        <v>917.28</v>
      </c>
      <c r="N116" s="2106">
        <f>IF(L116=0,I112*J116,I112*J116*L116)</f>
        <v>443.642472</v>
      </c>
      <c r="O116" s="2106"/>
      <c r="P116" s="1952"/>
      <c r="Q116" s="2025"/>
      <c r="R116" s="2025"/>
      <c r="S116" s="2025"/>
    </row>
    <row r="117" spans="1:19" s="474" customFormat="1" ht="15">
      <c r="A117" s="2099"/>
      <c r="B117" s="2100"/>
      <c r="C117" s="2100"/>
      <c r="D117" s="2100"/>
      <c r="E117" s="2099"/>
      <c r="F117" s="2099" t="s">
        <v>1862</v>
      </c>
      <c r="G117" s="2115" t="s">
        <v>1863</v>
      </c>
      <c r="H117" s="2099" t="s">
        <v>1848</v>
      </c>
      <c r="I117" s="2099"/>
      <c r="J117" s="2102">
        <v>1.2</v>
      </c>
      <c r="K117" s="2171">
        <f>'TH vat tu XD'!G28</f>
        <v>150000</v>
      </c>
      <c r="L117" s="2104"/>
      <c r="M117" s="2103">
        <f>IF(L117=0,J117*K117,J117*K117*L117)</f>
        <v>180000</v>
      </c>
      <c r="N117" s="2106">
        <f>IF(L117=0,I112*J117,I112*J117*L117)</f>
        <v>4.6430400000000001</v>
      </c>
      <c r="O117" s="2106"/>
      <c r="P117" s="1952"/>
      <c r="Q117" s="2025"/>
      <c r="R117" s="2025"/>
      <c r="S117" s="2025"/>
    </row>
    <row r="118" spans="1:19" s="474" customFormat="1" ht="15">
      <c r="A118" s="2099"/>
      <c r="B118" s="2100"/>
      <c r="C118" s="2100"/>
      <c r="D118" s="2100"/>
      <c r="E118" s="2099"/>
      <c r="F118" s="2099" t="s">
        <v>1864</v>
      </c>
      <c r="G118" s="2115" t="s">
        <v>1865</v>
      </c>
      <c r="H118" s="2099" t="s">
        <v>1848</v>
      </c>
      <c r="I118" s="2099"/>
      <c r="J118" s="2102">
        <v>5.7000000000000002E-2</v>
      </c>
      <c r="K118" s="2171">
        <f>'TH vat tu XD'!G27</f>
        <v>120000</v>
      </c>
      <c r="L118" s="2104"/>
      <c r="M118" s="2103">
        <f>IF(L118=0,J118*K118,J118*K118*L118)</f>
        <v>6840</v>
      </c>
      <c r="N118" s="2106">
        <f>IF(L118=0,I112*J118,I112*J118*L118)</f>
        <v>0.22054440000000003</v>
      </c>
      <c r="O118" s="2106"/>
      <c r="P118" s="1952"/>
      <c r="Q118" s="2025"/>
      <c r="R118" s="2025"/>
      <c r="S118" s="2025"/>
    </row>
    <row r="119" spans="1:19" s="474" customFormat="1" ht="15">
      <c r="A119" s="2099"/>
      <c r="B119" s="2100"/>
      <c r="C119" s="2100"/>
      <c r="D119" s="2100"/>
      <c r="E119" s="2099"/>
      <c r="F119" s="2099"/>
      <c r="G119" s="2116" t="s">
        <v>225</v>
      </c>
      <c r="H119" s="2116"/>
      <c r="I119" s="2116"/>
      <c r="J119" s="2120"/>
      <c r="K119" s="2118"/>
      <c r="L119" s="2119"/>
      <c r="M119" s="2118">
        <f>ROUND(SUM(M120:M120),Config!C103)</f>
        <v>413585</v>
      </c>
      <c r="N119" s="2106"/>
      <c r="O119" s="2106"/>
      <c r="P119" s="1952"/>
      <c r="Q119" s="2025"/>
      <c r="R119" s="2025"/>
      <c r="S119" s="2025"/>
    </row>
    <row r="120" spans="1:19" s="474" customFormat="1" ht="15">
      <c r="A120" s="2099"/>
      <c r="B120" s="2100"/>
      <c r="C120" s="2100"/>
      <c r="D120" s="2100"/>
      <c r="E120" s="2099"/>
      <c r="F120" s="2099" t="s">
        <v>1866</v>
      </c>
      <c r="G120" s="2115" t="s">
        <v>1867</v>
      </c>
      <c r="H120" s="2099" t="s">
        <v>1833</v>
      </c>
      <c r="I120" s="2099"/>
      <c r="J120" s="2102">
        <v>1.81</v>
      </c>
      <c r="K120" s="2171">
        <f>'TH vat tu XD'!G42</f>
        <v>228500</v>
      </c>
      <c r="L120" s="2104"/>
      <c r="M120" s="2103">
        <f>IF(L120=0,J120*K120,J120*K120*L120)</f>
        <v>413585</v>
      </c>
      <c r="N120" s="2106">
        <f>IF(L120=0,I112*J120,I112*J120*L120)</f>
        <v>7.0032520000000007</v>
      </c>
      <c r="O120" s="2106"/>
      <c r="P120" s="1952"/>
      <c r="Q120" s="2025"/>
      <c r="R120" s="2025"/>
      <c r="S120" s="2025"/>
    </row>
    <row r="121" spans="1:19" s="474" customFormat="1" ht="15">
      <c r="A121" s="2099"/>
      <c r="B121" s="2100"/>
      <c r="C121" s="2100"/>
      <c r="D121" s="2100"/>
      <c r="E121" s="2099"/>
      <c r="F121" s="2099"/>
      <c r="G121" s="2116" t="s">
        <v>228</v>
      </c>
      <c r="H121" s="2116"/>
      <c r="I121" s="2116"/>
      <c r="J121" s="2120"/>
      <c r="K121" s="2118"/>
      <c r="L121" s="2119"/>
      <c r="M121" s="2118">
        <f>ROUND(SUM(M122:M122),Config!C103)</f>
        <v>2556</v>
      </c>
      <c r="N121" s="2106"/>
      <c r="O121" s="2106"/>
      <c r="P121" s="1952"/>
      <c r="Q121" s="2025"/>
      <c r="R121" s="2025"/>
      <c r="S121" s="2025"/>
    </row>
    <row r="122" spans="1:19" s="474" customFormat="1" ht="15">
      <c r="A122" s="2099"/>
      <c r="B122" s="2100"/>
      <c r="C122" s="2100"/>
      <c r="D122" s="2100"/>
      <c r="E122" s="2099"/>
      <c r="F122" s="2099" t="s">
        <v>1868</v>
      </c>
      <c r="G122" s="2115" t="s">
        <v>1869</v>
      </c>
      <c r="H122" s="2099" t="s">
        <v>1836</v>
      </c>
      <c r="I122" s="2099"/>
      <c r="J122" s="2102">
        <v>5.2999999999999999E-2</v>
      </c>
      <c r="K122" s="2171">
        <f>'TH vat tu XD'!G49</f>
        <v>48226</v>
      </c>
      <c r="L122" s="2104"/>
      <c r="M122" s="2103">
        <f>IF(L122=0,J122*K122,J122*K122*L122)</f>
        <v>2555.9780000000001</v>
      </c>
      <c r="N122" s="2106">
        <f>IF(L122=0,I112*J122,I112*J122*L122)</f>
        <v>0.20506760000000002</v>
      </c>
      <c r="O122" s="2106"/>
      <c r="P122" s="1952"/>
      <c r="Q122" s="2025"/>
      <c r="R122" s="2025"/>
      <c r="S122" s="2025"/>
    </row>
    <row r="123" spans="1:19" s="474" customFormat="1" ht="15" hidden="1">
      <c r="A123" s="2099"/>
      <c r="B123" s="2100"/>
      <c r="C123" s="2100"/>
      <c r="D123" s="2100"/>
      <c r="E123" s="2099"/>
      <c r="F123" s="2099"/>
      <c r="G123" s="2101" t="s">
        <v>109</v>
      </c>
      <c r="H123" s="2099"/>
      <c r="I123" s="2099"/>
      <c r="J123" s="2099" t="s">
        <v>333</v>
      </c>
      <c r="K123" s="2103"/>
      <c r="L123" s="2104"/>
      <c r="M123" s="2105">
        <f>M113+M119+M121</f>
        <v>943357</v>
      </c>
      <c r="N123" s="2106"/>
      <c r="O123" s="2106"/>
      <c r="P123" s="1952"/>
      <c r="Q123" s="2025"/>
      <c r="R123" s="2025"/>
      <c r="S123" s="2025"/>
    </row>
    <row r="124" spans="1:19" s="474" customFormat="1" ht="15" hidden="1">
      <c r="A124" s="2099"/>
      <c r="B124" s="2100"/>
      <c r="C124" s="2100"/>
      <c r="D124" s="2100"/>
      <c r="E124" s="2099"/>
      <c r="F124" s="2099"/>
      <c r="G124" s="2101" t="s">
        <v>378</v>
      </c>
      <c r="H124" s="2099"/>
      <c r="I124" s="2099"/>
      <c r="J124" s="2099" t="str">
        <f ca="1">"T*"&amp;'THCP xay dung'!F48*100&amp;"%"</f>
        <v>T*6,2%</v>
      </c>
      <c r="K124" s="2103"/>
      <c r="L124" s="2104"/>
      <c r="M124" s="2105">
        <f ca="1">M123*'THCP xay dung'!F48*100%</f>
        <v>58488.133999999998</v>
      </c>
      <c r="N124" s="2106"/>
      <c r="O124" s="2106"/>
      <c r="P124" s="1952"/>
      <c r="Q124" s="2025"/>
      <c r="R124" s="2025"/>
      <c r="S124" s="2025"/>
    </row>
    <row r="125" spans="1:19" s="474" customFormat="1" ht="28.5" hidden="1">
      <c r="A125" s="2099"/>
      <c r="B125" s="2100"/>
      <c r="C125" s="2100"/>
      <c r="D125" s="2100"/>
      <c r="E125" s="2099"/>
      <c r="F125" s="2099"/>
      <c r="G125" s="2101" t="s">
        <v>702</v>
      </c>
      <c r="H125" s="2099"/>
      <c r="I125" s="2099"/>
      <c r="J125" s="2099" t="str">
        <f>IF('THCP xay dung'!G49&lt;&gt;1,"T*"&amp;'THCP xay dung'!F49*100&amp;"%"&amp;"*"&amp;'THCP xay dung'!G49,"T*"&amp;'THCP xay dung'!F49*100&amp;"%")</f>
        <v>T*1,1%</v>
      </c>
      <c r="K125" s="2103"/>
      <c r="L125" s="2104"/>
      <c r="M125" s="2105">
        <f>IF('THCP xay dung'!G49&lt;&gt;1,M123*'THCP xay dung'!F49*100%*'THCP xay dung'!G49,M123*'THCP xay dung'!F49*100%)</f>
        <v>10376.927000000001</v>
      </c>
      <c r="N125" s="2106"/>
      <c r="O125" s="2106"/>
      <c r="P125" s="1952"/>
      <c r="Q125" s="2025"/>
      <c r="R125" s="2025"/>
      <c r="S125" s="2025"/>
    </row>
    <row r="126" spans="1:19" s="474" customFormat="1" ht="42.75" hidden="1">
      <c r="A126" s="2099"/>
      <c r="B126" s="2100"/>
      <c r="C126" s="2100"/>
      <c r="D126" s="2100"/>
      <c r="E126" s="2099"/>
      <c r="F126" s="2099"/>
      <c r="G126" s="2101" t="s">
        <v>703</v>
      </c>
      <c r="H126" s="2099"/>
      <c r="I126" s="2099"/>
      <c r="J126" s="2099" t="str">
        <f ca="1">"T*"&amp;'THCP xay dung'!F50*100&amp;"%"</f>
        <v>T*2%</v>
      </c>
      <c r="K126" s="2103"/>
      <c r="L126" s="2104"/>
      <c r="M126" s="2105">
        <f ca="1">M123*'THCP xay dung'!F50*100%</f>
        <v>18867.14</v>
      </c>
      <c r="N126" s="2106"/>
      <c r="O126" s="2106"/>
      <c r="P126" s="1952"/>
      <c r="Q126" s="2025"/>
      <c r="R126" s="2025"/>
      <c r="S126" s="2025"/>
    </row>
    <row r="127" spans="1:19" s="474" customFormat="1" ht="15" hidden="1">
      <c r="A127" s="2099"/>
      <c r="B127" s="2100"/>
      <c r="C127" s="2100"/>
      <c r="D127" s="2100"/>
      <c r="E127" s="2099"/>
      <c r="F127" s="2099"/>
      <c r="G127" s="2101" t="s">
        <v>701</v>
      </c>
      <c r="H127" s="2099"/>
      <c r="I127" s="2099"/>
      <c r="J127" s="2099" t="s">
        <v>931</v>
      </c>
      <c r="K127" s="2103"/>
      <c r="L127" s="2104"/>
      <c r="M127" s="2105">
        <f ca="1">M124+M125+M126</f>
        <v>87732.201000000001</v>
      </c>
      <c r="N127" s="2106"/>
      <c r="O127" s="2106"/>
      <c r="P127" s="1952"/>
      <c r="Q127" s="2025"/>
      <c r="R127" s="2025"/>
      <c r="S127" s="2025"/>
    </row>
    <row r="128" spans="1:19" s="474" customFormat="1" ht="15" hidden="1">
      <c r="A128" s="2099"/>
      <c r="B128" s="2100"/>
      <c r="C128" s="2100"/>
      <c r="D128" s="2100"/>
      <c r="E128" s="2099"/>
      <c r="F128" s="2099"/>
      <c r="G128" s="2101" t="s">
        <v>574</v>
      </c>
      <c r="H128" s="2099"/>
      <c r="I128" s="2099"/>
      <c r="J128" s="2099" t="str">
        <f ca="1">"(T+GT)*"&amp;'THCP xay dung'!F52*100&amp;"%"</f>
        <v>(T+GT)*6%</v>
      </c>
      <c r="K128" s="2103"/>
      <c r="L128" s="2104"/>
      <c r="M128" s="2105">
        <f ca="1">(M123+M127)*'THCP xay dung'!F52*100%</f>
        <v>61865.352059999997</v>
      </c>
      <c r="N128" s="2106"/>
      <c r="O128" s="2106"/>
      <c r="P128" s="1952"/>
      <c r="Q128" s="2025"/>
      <c r="R128" s="2025"/>
      <c r="S128" s="2025"/>
    </row>
    <row r="129" spans="1:19" s="474" customFormat="1" ht="15" hidden="1">
      <c r="A129" s="2099"/>
      <c r="B129" s="2100"/>
      <c r="C129" s="2100"/>
      <c r="D129" s="2100"/>
      <c r="E129" s="2099"/>
      <c r="F129" s="2099"/>
      <c r="G129" s="2101" t="s">
        <v>113</v>
      </c>
      <c r="H129" s="2099"/>
      <c r="I129" s="2099"/>
      <c r="J129" s="2099" t="s">
        <v>705</v>
      </c>
      <c r="K129" s="2103"/>
      <c r="L129" s="2104"/>
      <c r="M129" s="2105">
        <f ca="1">M123+M127+M128</f>
        <v>1092954.5530600001</v>
      </c>
      <c r="N129" s="2106"/>
      <c r="O129" s="2106"/>
      <c r="P129" s="1952"/>
      <c r="Q129" s="2025"/>
      <c r="R129" s="2025"/>
      <c r="S129" s="2025"/>
    </row>
    <row r="130" spans="1:19" s="474" customFormat="1" ht="15" hidden="1">
      <c r="A130" s="2099"/>
      <c r="B130" s="2100"/>
      <c r="C130" s="2100"/>
      <c r="D130" s="2100"/>
      <c r="E130" s="2099"/>
      <c r="F130" s="2099"/>
      <c r="G130" s="2101" t="s">
        <v>575</v>
      </c>
      <c r="H130" s="2099"/>
      <c r="I130" s="2099"/>
      <c r="J130" s="2099" t="str">
        <f>"G*"&amp;'THCP xay dung'!F54*100&amp;"%"</f>
        <v>G*10%</v>
      </c>
      <c r="K130" s="2103"/>
      <c r="L130" s="2104"/>
      <c r="M130" s="2105">
        <f ca="1">M129*'THCP xay dung'!F54*100%</f>
        <v>109295.45530600002</v>
      </c>
      <c r="N130" s="2106"/>
      <c r="O130" s="2106"/>
      <c r="P130" s="1952"/>
      <c r="Q130" s="2025"/>
      <c r="R130" s="2025"/>
      <c r="S130" s="2025"/>
    </row>
    <row r="131" spans="1:19" s="474" customFormat="1" ht="15" hidden="1">
      <c r="A131" s="2099"/>
      <c r="B131" s="2100"/>
      <c r="C131" s="2100"/>
      <c r="D131" s="2100"/>
      <c r="E131" s="2099"/>
      <c r="F131" s="2099"/>
      <c r="G131" s="2101" t="s">
        <v>117</v>
      </c>
      <c r="H131" s="2099"/>
      <c r="I131" s="2099"/>
      <c r="J131" s="2099" t="s">
        <v>596</v>
      </c>
      <c r="K131" s="2103"/>
      <c r="L131" s="2104"/>
      <c r="M131" s="2105">
        <f ca="1">M129+M130</f>
        <v>1202250.0083660001</v>
      </c>
      <c r="N131" s="2106"/>
      <c r="O131" s="2106"/>
      <c r="P131" s="1952"/>
      <c r="Q131" s="2025"/>
      <c r="R131" s="2025"/>
      <c r="S131" s="2025"/>
    </row>
    <row r="132" spans="1:19" s="474" customFormat="1" ht="15" hidden="1">
      <c r="A132" s="2099"/>
      <c r="B132" s="2100"/>
      <c r="C132" s="2100"/>
      <c r="D132" s="2100"/>
      <c r="E132" s="2099"/>
      <c r="F132" s="2099"/>
      <c r="G132" s="2101" t="s">
        <v>168</v>
      </c>
      <c r="H132" s="2099"/>
      <c r="I132" s="2099"/>
      <c r="J132" s="2099" t="str">
        <f ca="1">"GXD*"&amp;'THCP xay dung'!F56*100&amp;"%"</f>
        <v>GXD*6%</v>
      </c>
      <c r="K132" s="2103"/>
      <c r="L132" s="2104"/>
      <c r="M132" s="2105">
        <f ca="1">M131*'THCP xay dung'!F56*100%</f>
        <v>72135.000501960007</v>
      </c>
      <c r="N132" s="2106"/>
      <c r="O132" s="2106"/>
      <c r="P132" s="1952"/>
      <c r="Q132" s="2025"/>
      <c r="R132" s="2025"/>
      <c r="S132" s="2025"/>
    </row>
    <row r="133" spans="1:19" s="474" customFormat="1" ht="15" hidden="1">
      <c r="A133" s="2122" t="s">
        <v>304</v>
      </c>
      <c r="B133" s="2123"/>
      <c r="C133" s="2123"/>
      <c r="D133" s="2123"/>
      <c r="E133" s="2122"/>
      <c r="F133" s="2122"/>
      <c r="G133" s="2109" t="s">
        <v>1837</v>
      </c>
      <c r="H133" s="2107"/>
      <c r="I133" s="2107"/>
      <c r="J133" s="2107" t="s">
        <v>1636</v>
      </c>
      <c r="K133" s="2110"/>
      <c r="L133" s="2111"/>
      <c r="M133" s="2112">
        <f ca="1">M131+M132</f>
        <v>1274385.0088679602</v>
      </c>
      <c r="N133" s="2113"/>
      <c r="O133" s="2113"/>
      <c r="P133" s="1952"/>
      <c r="Q133" s="2025"/>
      <c r="R133" s="2025"/>
      <c r="S133" s="2025"/>
    </row>
    <row r="134" spans="1:19" s="474" customFormat="1" ht="60">
      <c r="A134" s="2124">
        <v>68</v>
      </c>
      <c r="B134" s="2125">
        <f>'Du toan XD'!B82</f>
        <v>3</v>
      </c>
      <c r="C134" s="2125"/>
      <c r="D134" s="2125" t="s">
        <v>1543</v>
      </c>
      <c r="E134" s="2126" t="s">
        <v>1543</v>
      </c>
      <c r="F134" s="2126"/>
      <c r="G134" s="2132" t="str">
        <f>'Du toan XD'!F82</f>
        <v>Gia công, lắp dựng tháo dỡ ván khuôn cho bê tông đổ tại chỗ, ván khuôn gỗ móng băng, bệ máy</v>
      </c>
      <c r="H134" s="2126" t="str">
        <f>'Du toan XD'!G82</f>
        <v>100m²</v>
      </c>
      <c r="I134" s="2126">
        <f>'Du toan XD'!H82</f>
        <v>0.2321</v>
      </c>
      <c r="J134" s="2127"/>
      <c r="K134" s="2128"/>
      <c r="L134" s="2129"/>
      <c r="M134" s="2128"/>
      <c r="N134" s="2130"/>
      <c r="O134" s="2131"/>
      <c r="P134" s="1952">
        <f>M135</f>
        <v>4437940</v>
      </c>
      <c r="Q134" s="2025"/>
      <c r="R134" s="2025">
        <f>M141</f>
        <v>3109885</v>
      </c>
      <c r="S134" s="2025"/>
    </row>
    <row r="135" spans="1:19" s="474" customFormat="1" ht="15">
      <c r="A135" s="2050"/>
      <c r="B135" s="2051"/>
      <c r="C135" s="2051"/>
      <c r="D135" s="2051"/>
      <c r="E135" s="2052"/>
      <c r="F135" s="2052"/>
      <c r="G135" s="2067" t="s">
        <v>224</v>
      </c>
      <c r="H135" s="2067"/>
      <c r="I135" s="2067"/>
      <c r="J135" s="2134"/>
      <c r="K135" s="2069"/>
      <c r="L135" s="2070"/>
      <c r="M135" s="2069">
        <f>ROUND(SUM(M136:M140),Config!C103)</f>
        <v>4437940</v>
      </c>
      <c r="N135" s="2056"/>
      <c r="O135" s="2057"/>
      <c r="P135" s="1952"/>
      <c r="Q135" s="2025"/>
      <c r="R135" s="2025"/>
      <c r="S135" s="2025"/>
    </row>
    <row r="136" spans="1:19" s="474" customFormat="1" ht="15">
      <c r="A136" s="2050"/>
      <c r="B136" s="2051"/>
      <c r="C136" s="2051"/>
      <c r="D136" s="2051"/>
      <c r="E136" s="2052"/>
      <c r="F136" s="2052" t="s">
        <v>1874</v>
      </c>
      <c r="G136" s="2053" t="s">
        <v>1875</v>
      </c>
      <c r="H136" s="2052" t="s">
        <v>1848</v>
      </c>
      <c r="I136" s="2052"/>
      <c r="J136" s="2073">
        <v>0.79400000000000004</v>
      </c>
      <c r="K136" s="2170">
        <f>'TH vat tu XD'!G33</f>
        <v>3100000</v>
      </c>
      <c r="L136" s="2054"/>
      <c r="M136" s="2055">
        <f>IF(L136=0,J136*K136,J136*K136*L136)</f>
        <v>2461400</v>
      </c>
      <c r="N136" s="2056">
        <f>IF(L136=0,I134*J136,I134*J136*L136)</f>
        <v>0.18428740000000002</v>
      </c>
      <c r="O136" s="2057">
        <f>J140%*N136</f>
        <v>1.8428740000000002E-3</v>
      </c>
      <c r="P136" s="1952"/>
      <c r="Q136" s="2025"/>
      <c r="R136" s="2025"/>
      <c r="S136" s="2025"/>
    </row>
    <row r="137" spans="1:19" s="474" customFormat="1" ht="15">
      <c r="A137" s="2050"/>
      <c r="B137" s="2051"/>
      <c r="C137" s="2051"/>
      <c r="D137" s="2051"/>
      <c r="E137" s="2052"/>
      <c r="F137" s="2052" t="s">
        <v>1876</v>
      </c>
      <c r="G137" s="2053" t="s">
        <v>1877</v>
      </c>
      <c r="H137" s="2052" t="s">
        <v>1848</v>
      </c>
      <c r="I137" s="2052"/>
      <c r="J137" s="2073">
        <v>8.6999999999999994E-2</v>
      </c>
      <c r="K137" s="2170">
        <f>'TH vat tu XD'!G32</f>
        <v>3100000</v>
      </c>
      <c r="L137" s="2054"/>
      <c r="M137" s="2055">
        <f>IF(L137=0,J137*K137,J137*K137*L137)</f>
        <v>269700</v>
      </c>
      <c r="N137" s="2056">
        <f>IF(L137=0,I134*J137,I134*J137*L137)</f>
        <v>2.0192699999999997E-2</v>
      </c>
      <c r="O137" s="2057">
        <f>J140%*N137</f>
        <v>2.0192699999999997E-4</v>
      </c>
      <c r="P137" s="1952"/>
      <c r="Q137" s="2025"/>
      <c r="R137" s="2025"/>
      <c r="S137" s="2025"/>
    </row>
    <row r="138" spans="1:19" s="474" customFormat="1" ht="15">
      <c r="A138" s="2050"/>
      <c r="B138" s="2051"/>
      <c r="C138" s="2051"/>
      <c r="D138" s="2051"/>
      <c r="E138" s="2052"/>
      <c r="F138" s="2052" t="s">
        <v>1878</v>
      </c>
      <c r="G138" s="2053" t="s">
        <v>1879</v>
      </c>
      <c r="H138" s="2052" t="s">
        <v>1848</v>
      </c>
      <c r="I138" s="2052"/>
      <c r="J138" s="2073">
        <v>0.45900000000000002</v>
      </c>
      <c r="K138" s="2170">
        <f>'TH vat tu XD'!G31</f>
        <v>3100000</v>
      </c>
      <c r="L138" s="2054"/>
      <c r="M138" s="2055">
        <f>IF(L138=0,J138*K138,J138*K138*L138)</f>
        <v>1422900</v>
      </c>
      <c r="N138" s="2056">
        <f>IF(L138=0,I134*J138,I134*J138*L138)</f>
        <v>0.1065339</v>
      </c>
      <c r="O138" s="2057">
        <f>J140%*N138</f>
        <v>1.065339E-3</v>
      </c>
      <c r="P138" s="1952"/>
      <c r="Q138" s="2025"/>
      <c r="R138" s="2025"/>
      <c r="S138" s="2025"/>
    </row>
    <row r="139" spans="1:19" s="474" customFormat="1" ht="15">
      <c r="A139" s="2050"/>
      <c r="B139" s="2051"/>
      <c r="C139" s="2051"/>
      <c r="D139" s="2051"/>
      <c r="E139" s="2052"/>
      <c r="F139" s="2052" t="s">
        <v>1880</v>
      </c>
      <c r="G139" s="2053" t="s">
        <v>1881</v>
      </c>
      <c r="H139" s="2052" t="s">
        <v>1856</v>
      </c>
      <c r="I139" s="2052"/>
      <c r="J139" s="2073">
        <v>12</v>
      </c>
      <c r="K139" s="2170">
        <f>'TH vat tu XD'!G29</f>
        <v>20000</v>
      </c>
      <c r="L139" s="2054"/>
      <c r="M139" s="2055">
        <f>IF(L139=0,J139*K139,J139*K139*L139)</f>
        <v>240000</v>
      </c>
      <c r="N139" s="2056">
        <f>IF(L139=0,I134*J139,I134*J139*L139)</f>
        <v>2.7852000000000001</v>
      </c>
      <c r="O139" s="2057">
        <f>J140%*N139</f>
        <v>2.7852000000000002E-2</v>
      </c>
      <c r="P139" s="1952"/>
      <c r="Q139" s="2025"/>
      <c r="R139" s="2025"/>
      <c r="S139" s="2025"/>
    </row>
    <row r="140" spans="1:19" s="474" customFormat="1" ht="15">
      <c r="A140" s="2050"/>
      <c r="B140" s="2051"/>
      <c r="C140" s="2051"/>
      <c r="D140" s="2051"/>
      <c r="E140" s="2052"/>
      <c r="F140" s="2052" t="s">
        <v>1882</v>
      </c>
      <c r="G140" s="2053" t="s">
        <v>226</v>
      </c>
      <c r="H140" s="2052" t="s">
        <v>1850</v>
      </c>
      <c r="I140" s="2052"/>
      <c r="J140" s="2073">
        <v>1</v>
      </c>
      <c r="K140" s="2055"/>
      <c r="L140" s="2054"/>
      <c r="M140" s="2055">
        <f>SUM(M136:M139)*J140%</f>
        <v>43940</v>
      </c>
      <c r="N140" s="2056"/>
      <c r="O140" s="2057"/>
      <c r="P140" s="1952"/>
      <c r="Q140" s="2025"/>
      <c r="R140" s="2025"/>
      <c r="S140" s="2025"/>
    </row>
    <row r="141" spans="1:19" s="474" customFormat="1" ht="15">
      <c r="A141" s="2050"/>
      <c r="B141" s="2051"/>
      <c r="C141" s="2051"/>
      <c r="D141" s="2051"/>
      <c r="E141" s="2052"/>
      <c r="F141" s="2052"/>
      <c r="G141" s="2067" t="s">
        <v>225</v>
      </c>
      <c r="H141" s="2067"/>
      <c r="I141" s="2067"/>
      <c r="J141" s="2134"/>
      <c r="K141" s="2069"/>
      <c r="L141" s="2070"/>
      <c r="M141" s="2069">
        <f>ROUND(SUM(M142:M142),Config!C103)</f>
        <v>3109885</v>
      </c>
      <c r="N141" s="2056"/>
      <c r="O141" s="2057"/>
      <c r="P141" s="1952"/>
      <c r="Q141" s="2025"/>
      <c r="R141" s="2025"/>
      <c r="S141" s="2025"/>
    </row>
    <row r="142" spans="1:19" s="474" customFormat="1" ht="15">
      <c r="A142" s="2050"/>
      <c r="B142" s="2051"/>
      <c r="C142" s="2051"/>
      <c r="D142" s="2051"/>
      <c r="E142" s="2052"/>
      <c r="F142" s="2052" t="s">
        <v>1866</v>
      </c>
      <c r="G142" s="2053" t="s">
        <v>1867</v>
      </c>
      <c r="H142" s="2052" t="s">
        <v>1833</v>
      </c>
      <c r="I142" s="2052"/>
      <c r="J142" s="2073">
        <v>13.61</v>
      </c>
      <c r="K142" s="2170">
        <f>'TH vat tu XD'!G42</f>
        <v>228500</v>
      </c>
      <c r="L142" s="2054"/>
      <c r="M142" s="2055">
        <f>IF(L142=0,J142*K142,J142*K142*L142)</f>
        <v>3109885</v>
      </c>
      <c r="N142" s="2056">
        <f>IF(L142=0,I134*J142,I134*J142*L142)</f>
        <v>3.158881</v>
      </c>
      <c r="O142" s="2057"/>
      <c r="P142" s="1952"/>
      <c r="Q142" s="2025"/>
      <c r="R142" s="2025"/>
      <c r="S142" s="2025"/>
    </row>
    <row r="143" spans="1:19" s="474" customFormat="1" ht="15" hidden="1">
      <c r="A143" s="2050"/>
      <c r="B143" s="2051"/>
      <c r="C143" s="2051"/>
      <c r="D143" s="2051"/>
      <c r="E143" s="2052"/>
      <c r="F143" s="2052"/>
      <c r="G143" s="2065" t="s">
        <v>109</v>
      </c>
      <c r="H143" s="2052"/>
      <c r="I143" s="2052"/>
      <c r="J143" s="2052" t="s">
        <v>333</v>
      </c>
      <c r="K143" s="2055"/>
      <c r="L143" s="2054"/>
      <c r="M143" s="2066">
        <f>M135+M141+0</f>
        <v>7547825</v>
      </c>
      <c r="N143" s="2056"/>
      <c r="O143" s="2057"/>
      <c r="P143" s="1952"/>
      <c r="Q143" s="2025"/>
      <c r="R143" s="2025"/>
      <c r="S143" s="2025"/>
    </row>
    <row r="144" spans="1:19" s="474" customFormat="1" ht="15" hidden="1">
      <c r="A144" s="2050"/>
      <c r="B144" s="2051"/>
      <c r="C144" s="2051"/>
      <c r="D144" s="2051"/>
      <c r="E144" s="2052"/>
      <c r="F144" s="2052"/>
      <c r="G144" s="2065" t="s">
        <v>378</v>
      </c>
      <c r="H144" s="2052"/>
      <c r="I144" s="2052"/>
      <c r="J144" s="2052" t="str">
        <f ca="1">"T*"&amp;'THCP xay dung'!F48*100&amp;"%"</f>
        <v>T*6,2%</v>
      </c>
      <c r="K144" s="2055"/>
      <c r="L144" s="2054"/>
      <c r="M144" s="2066">
        <f ca="1">M143*'THCP xay dung'!F48*100%</f>
        <v>467965.15</v>
      </c>
      <c r="N144" s="2056"/>
      <c r="O144" s="2057"/>
      <c r="P144" s="1952"/>
      <c r="Q144" s="2025"/>
      <c r="R144" s="2025"/>
      <c r="S144" s="2025"/>
    </row>
    <row r="145" spans="1:19" s="474" customFormat="1" ht="28.5" hidden="1">
      <c r="A145" s="2050"/>
      <c r="B145" s="2051"/>
      <c r="C145" s="2051"/>
      <c r="D145" s="2051"/>
      <c r="E145" s="2052"/>
      <c r="F145" s="2052"/>
      <c r="G145" s="2065" t="s">
        <v>702</v>
      </c>
      <c r="H145" s="2052"/>
      <c r="I145" s="2052"/>
      <c r="J145" s="2052" t="str">
        <f>IF('THCP xay dung'!G49&lt;&gt;1,"T*"&amp;'THCP xay dung'!F49*100&amp;"%"&amp;"*"&amp;'THCP xay dung'!G49,"T*"&amp;'THCP xay dung'!F49*100&amp;"%")</f>
        <v>T*1,1%</v>
      </c>
      <c r="K145" s="2055"/>
      <c r="L145" s="2054"/>
      <c r="M145" s="2066">
        <f>IF('THCP xay dung'!G49&lt;&gt;1,M143*'THCP xay dung'!F49*100%*'THCP xay dung'!G49,M143*'THCP xay dung'!F49*100%)</f>
        <v>83026.075000000012</v>
      </c>
      <c r="N145" s="2056"/>
      <c r="O145" s="2057"/>
      <c r="P145" s="1952"/>
      <c r="Q145" s="2025"/>
      <c r="R145" s="2025"/>
      <c r="S145" s="2025"/>
    </row>
    <row r="146" spans="1:19" s="474" customFormat="1" ht="42.75" hidden="1">
      <c r="A146" s="2050"/>
      <c r="B146" s="2051"/>
      <c r="C146" s="2051"/>
      <c r="D146" s="2051"/>
      <c r="E146" s="2052"/>
      <c r="F146" s="2052"/>
      <c r="G146" s="2065" t="s">
        <v>703</v>
      </c>
      <c r="H146" s="2052"/>
      <c r="I146" s="2052"/>
      <c r="J146" s="2052" t="str">
        <f ca="1">"T*"&amp;'THCP xay dung'!F50*100&amp;"%"</f>
        <v>T*2%</v>
      </c>
      <c r="K146" s="2055"/>
      <c r="L146" s="2054"/>
      <c r="M146" s="2066">
        <f ca="1">M143*'THCP xay dung'!F50*100%</f>
        <v>150956.5</v>
      </c>
      <c r="N146" s="2056"/>
      <c r="O146" s="2057"/>
      <c r="P146" s="1952"/>
      <c r="Q146" s="2025"/>
      <c r="R146" s="2025"/>
      <c r="S146" s="2025"/>
    </row>
    <row r="147" spans="1:19" s="474" customFormat="1" ht="15" hidden="1">
      <c r="A147" s="2050"/>
      <c r="B147" s="2051"/>
      <c r="C147" s="2051"/>
      <c r="D147" s="2051"/>
      <c r="E147" s="2052"/>
      <c r="F147" s="2052"/>
      <c r="G147" s="2065" t="s">
        <v>701</v>
      </c>
      <c r="H147" s="2052"/>
      <c r="I147" s="2052"/>
      <c r="J147" s="2052" t="s">
        <v>931</v>
      </c>
      <c r="K147" s="2055"/>
      <c r="L147" s="2054"/>
      <c r="M147" s="2066">
        <f ca="1">M144+M145+M146</f>
        <v>701947.72500000009</v>
      </c>
      <c r="N147" s="2056"/>
      <c r="O147" s="2057"/>
      <c r="P147" s="1952"/>
      <c r="Q147" s="2025"/>
      <c r="R147" s="2025"/>
      <c r="S147" s="2025"/>
    </row>
    <row r="148" spans="1:19" s="474" customFormat="1" ht="15" hidden="1">
      <c r="A148" s="2050"/>
      <c r="B148" s="2051"/>
      <c r="C148" s="2051"/>
      <c r="D148" s="2051"/>
      <c r="E148" s="2052"/>
      <c r="F148" s="2052"/>
      <c r="G148" s="2065" t="s">
        <v>574</v>
      </c>
      <c r="H148" s="2052"/>
      <c r="I148" s="2052"/>
      <c r="J148" s="2052" t="str">
        <f ca="1">"(T+GT)*"&amp;'THCP xay dung'!F52*100&amp;"%"</f>
        <v>(T+GT)*6%</v>
      </c>
      <c r="K148" s="2055"/>
      <c r="L148" s="2054"/>
      <c r="M148" s="2066">
        <f ca="1">(M143+M147)*'THCP xay dung'!F52*100%</f>
        <v>494986.36349999998</v>
      </c>
      <c r="N148" s="2056"/>
      <c r="O148" s="2057"/>
      <c r="P148" s="1952"/>
      <c r="Q148" s="2025"/>
      <c r="R148" s="2025"/>
      <c r="S148" s="2025"/>
    </row>
    <row r="149" spans="1:19" s="474" customFormat="1" ht="15" hidden="1">
      <c r="A149" s="2050"/>
      <c r="B149" s="2051"/>
      <c r="C149" s="2051"/>
      <c r="D149" s="2051"/>
      <c r="E149" s="2052"/>
      <c r="F149" s="2052"/>
      <c r="G149" s="2065" t="s">
        <v>113</v>
      </c>
      <c r="H149" s="2052"/>
      <c r="I149" s="2052"/>
      <c r="J149" s="2052" t="s">
        <v>705</v>
      </c>
      <c r="K149" s="2055"/>
      <c r="L149" s="2054"/>
      <c r="M149" s="2066">
        <f ca="1">M143+M147+M148</f>
        <v>8744759.0885000005</v>
      </c>
      <c r="N149" s="2056"/>
      <c r="O149" s="2057"/>
      <c r="P149" s="1952"/>
      <c r="Q149" s="2025"/>
      <c r="R149" s="2025"/>
      <c r="S149" s="2025"/>
    </row>
    <row r="150" spans="1:19" s="474" customFormat="1" ht="15" hidden="1">
      <c r="A150" s="2050"/>
      <c r="B150" s="2051"/>
      <c r="C150" s="2051"/>
      <c r="D150" s="2051"/>
      <c r="E150" s="2052"/>
      <c r="F150" s="2052"/>
      <c r="G150" s="2065" t="s">
        <v>575</v>
      </c>
      <c r="H150" s="2052"/>
      <c r="I150" s="2052"/>
      <c r="J150" s="2052" t="str">
        <f>"G*"&amp;'THCP xay dung'!F54*100&amp;"%"</f>
        <v>G*10%</v>
      </c>
      <c r="K150" s="2055"/>
      <c r="L150" s="2054"/>
      <c r="M150" s="2066">
        <f ca="1">M149*'THCP xay dung'!F54*100%</f>
        <v>874475.90885000012</v>
      </c>
      <c r="N150" s="2056"/>
      <c r="O150" s="2057"/>
      <c r="P150" s="1952"/>
      <c r="Q150" s="2025"/>
      <c r="R150" s="2025"/>
      <c r="S150" s="2025"/>
    </row>
    <row r="151" spans="1:19" s="474" customFormat="1" ht="15" hidden="1">
      <c r="A151" s="2050"/>
      <c r="B151" s="2051"/>
      <c r="C151" s="2051"/>
      <c r="D151" s="2051"/>
      <c r="E151" s="2052"/>
      <c r="F151" s="2052"/>
      <c r="G151" s="2065" t="s">
        <v>117</v>
      </c>
      <c r="H151" s="2052"/>
      <c r="I151" s="2052"/>
      <c r="J151" s="2052" t="s">
        <v>596</v>
      </c>
      <c r="K151" s="2055"/>
      <c r="L151" s="2054"/>
      <c r="M151" s="2066">
        <f ca="1">M149+M150</f>
        <v>9619234.9973499998</v>
      </c>
      <c r="N151" s="2056"/>
      <c r="O151" s="2057"/>
      <c r="P151" s="1952"/>
      <c r="Q151" s="2025"/>
      <c r="R151" s="2025"/>
      <c r="S151" s="2025"/>
    </row>
    <row r="152" spans="1:19" s="474" customFormat="1" ht="15" hidden="1">
      <c r="A152" s="2050"/>
      <c r="B152" s="2051"/>
      <c r="C152" s="2051"/>
      <c r="D152" s="2051"/>
      <c r="E152" s="2052"/>
      <c r="F152" s="2052"/>
      <c r="G152" s="2065" t="s">
        <v>168</v>
      </c>
      <c r="H152" s="2052"/>
      <c r="I152" s="2052"/>
      <c r="J152" s="2052" t="str">
        <f ca="1">"GXD*"&amp;'THCP xay dung'!F56*100&amp;"%"</f>
        <v>GXD*6%</v>
      </c>
      <c r="K152" s="2055"/>
      <c r="L152" s="2054"/>
      <c r="M152" s="2066">
        <f ca="1">M151*'THCP xay dung'!F56*100%</f>
        <v>577154.09984099993</v>
      </c>
      <c r="N152" s="2056"/>
      <c r="O152" s="2057"/>
      <c r="P152" s="1952"/>
      <c r="Q152" s="2025"/>
      <c r="R152" s="2025"/>
      <c r="S152" s="2025"/>
    </row>
    <row r="153" spans="1:19" s="474" customFormat="1" ht="15" hidden="1">
      <c r="A153" s="2090" t="s">
        <v>304</v>
      </c>
      <c r="B153" s="2091"/>
      <c r="C153" s="2091"/>
      <c r="D153" s="2091"/>
      <c r="E153" s="2092"/>
      <c r="F153" s="2092"/>
      <c r="G153" s="2075" t="s">
        <v>1837</v>
      </c>
      <c r="H153" s="2060"/>
      <c r="I153" s="2060"/>
      <c r="J153" s="2060" t="s">
        <v>1636</v>
      </c>
      <c r="K153" s="2062"/>
      <c r="L153" s="2061"/>
      <c r="M153" s="2074">
        <f ca="1">M151+M152</f>
        <v>10196389.097191</v>
      </c>
      <c r="N153" s="2063"/>
      <c r="O153" s="2064"/>
      <c r="P153" s="1952"/>
      <c r="Q153" s="2025"/>
      <c r="R153" s="2025"/>
      <c r="S153" s="2025"/>
    </row>
    <row r="154" spans="1:19" s="474" customFormat="1" ht="30">
      <c r="A154" s="2093">
        <v>69</v>
      </c>
      <c r="B154" s="2094">
        <f>'Du toan XD'!B88</f>
        <v>4</v>
      </c>
      <c r="C154" s="2094"/>
      <c r="D154" s="2094" t="s">
        <v>1544</v>
      </c>
      <c r="E154" s="2093" t="s">
        <v>1544</v>
      </c>
      <c r="F154" s="2093"/>
      <c r="G154" s="2114" t="str">
        <f>'Du toan XD'!F88</f>
        <v>Gia công, lắp dựng cốt thép móng, đường kính ≤10mm</v>
      </c>
      <c r="H154" s="2093" t="str">
        <f>'Du toan XD'!G88</f>
        <v>tấn</v>
      </c>
      <c r="I154" s="2093">
        <f>'Du toan XD'!H88</f>
        <v>6.9000000000000006E-2</v>
      </c>
      <c r="J154" s="2095"/>
      <c r="K154" s="2096"/>
      <c r="L154" s="2097"/>
      <c r="M154" s="2096"/>
      <c r="N154" s="2098"/>
      <c r="O154" s="2098"/>
      <c r="P154" s="1952">
        <f>M155</f>
        <v>22644390</v>
      </c>
      <c r="Q154" s="2025"/>
      <c r="R154" s="2025">
        <f>M158</f>
        <v>2456375</v>
      </c>
      <c r="S154" s="2025">
        <f>M160</f>
        <v>13870</v>
      </c>
    </row>
    <row r="155" spans="1:19" s="474" customFormat="1" ht="15">
      <c r="A155" s="2099"/>
      <c r="B155" s="2100"/>
      <c r="C155" s="2100"/>
      <c r="D155" s="2100"/>
      <c r="E155" s="2099"/>
      <c r="F155" s="2099"/>
      <c r="G155" s="2116" t="s">
        <v>224</v>
      </c>
      <c r="H155" s="2116"/>
      <c r="I155" s="2116"/>
      <c r="J155" s="2120"/>
      <c r="K155" s="2118"/>
      <c r="L155" s="2119"/>
      <c r="M155" s="2118">
        <f>ROUND(SUM(M156:M157),Config!C103)</f>
        <v>22644390</v>
      </c>
      <c r="N155" s="2106"/>
      <c r="O155" s="2106"/>
      <c r="P155" s="1952"/>
      <c r="Q155" s="2025"/>
      <c r="R155" s="2025"/>
      <c r="S155" s="2025"/>
    </row>
    <row r="156" spans="1:19" s="474" customFormat="1" ht="15">
      <c r="A156" s="2099"/>
      <c r="B156" s="2100"/>
      <c r="C156" s="2100"/>
      <c r="D156" s="2100"/>
      <c r="E156" s="2099"/>
      <c r="F156" s="2099" t="s">
        <v>1885</v>
      </c>
      <c r="G156" s="2115" t="s">
        <v>1886</v>
      </c>
      <c r="H156" s="2099" t="s">
        <v>1856</v>
      </c>
      <c r="I156" s="2099"/>
      <c r="J156" s="2102">
        <v>1005</v>
      </c>
      <c r="K156" s="2171">
        <f>'TH vat tu XD'!G36</f>
        <v>22100</v>
      </c>
      <c r="L156" s="2104"/>
      <c r="M156" s="2103">
        <f>IF(L156=0,J156*K156,J156*K156*L156)</f>
        <v>22210500</v>
      </c>
      <c r="N156" s="2106">
        <f>IF(L156=0,I154*J156,I154*J156*L156)</f>
        <v>69.344999999999999</v>
      </c>
      <c r="O156" s="2106"/>
      <c r="P156" s="1952"/>
      <c r="Q156" s="2025"/>
      <c r="R156" s="2025"/>
      <c r="S156" s="2025"/>
    </row>
    <row r="157" spans="1:19" s="474" customFormat="1" ht="15">
      <c r="A157" s="2099"/>
      <c r="B157" s="2100"/>
      <c r="C157" s="2100"/>
      <c r="D157" s="2100"/>
      <c r="E157" s="2099"/>
      <c r="F157" s="2099" t="s">
        <v>1887</v>
      </c>
      <c r="G157" s="2115" t="s">
        <v>1888</v>
      </c>
      <c r="H157" s="2099" t="s">
        <v>1856</v>
      </c>
      <c r="I157" s="2099"/>
      <c r="J157" s="2102">
        <v>16.07</v>
      </c>
      <c r="K157" s="2171">
        <f>'TH vat tu XD'!G30</f>
        <v>27000</v>
      </c>
      <c r="L157" s="2104"/>
      <c r="M157" s="2103">
        <f>IF(L157=0,J157*K157,J157*K157*L157)</f>
        <v>433890</v>
      </c>
      <c r="N157" s="2106">
        <f>IF(L157=0,I154*J157,I154*J157*L157)</f>
        <v>1.1088300000000002</v>
      </c>
      <c r="O157" s="2106"/>
      <c r="P157" s="1952"/>
      <c r="Q157" s="2025"/>
      <c r="R157" s="2025"/>
      <c r="S157" s="2025"/>
    </row>
    <row r="158" spans="1:19" s="474" customFormat="1" ht="15">
      <c r="A158" s="2099"/>
      <c r="B158" s="2100"/>
      <c r="C158" s="2100"/>
      <c r="D158" s="2100"/>
      <c r="E158" s="2099"/>
      <c r="F158" s="2099"/>
      <c r="G158" s="2116" t="s">
        <v>225</v>
      </c>
      <c r="H158" s="2116"/>
      <c r="I158" s="2116"/>
      <c r="J158" s="2120"/>
      <c r="K158" s="2118"/>
      <c r="L158" s="2119"/>
      <c r="M158" s="2118">
        <f>ROUND(SUM(M159:M159),Config!C103)</f>
        <v>2456375</v>
      </c>
      <c r="N158" s="2106"/>
      <c r="O158" s="2106"/>
      <c r="P158" s="1952"/>
      <c r="Q158" s="2025"/>
      <c r="R158" s="2025"/>
      <c r="S158" s="2025"/>
    </row>
    <row r="159" spans="1:19" s="474" customFormat="1" ht="15">
      <c r="A159" s="2099"/>
      <c r="B159" s="2100"/>
      <c r="C159" s="2100"/>
      <c r="D159" s="2100"/>
      <c r="E159" s="2099"/>
      <c r="F159" s="2099" t="s">
        <v>1866</v>
      </c>
      <c r="G159" s="2115" t="s">
        <v>1867</v>
      </c>
      <c r="H159" s="2099" t="s">
        <v>1833</v>
      </c>
      <c r="I159" s="2099"/>
      <c r="J159" s="2102">
        <v>10.75</v>
      </c>
      <c r="K159" s="2171">
        <f>'TH vat tu XD'!G42</f>
        <v>228500</v>
      </c>
      <c r="L159" s="2104"/>
      <c r="M159" s="2103">
        <f>IF(L159=0,J159*K159,J159*K159*L159)</f>
        <v>2456375</v>
      </c>
      <c r="N159" s="2106">
        <f>IF(L159=0,I154*J159,I154*J159*L159)</f>
        <v>0.74175000000000002</v>
      </c>
      <c r="O159" s="2106"/>
      <c r="P159" s="1952"/>
      <c r="Q159" s="2025"/>
      <c r="R159" s="2025"/>
      <c r="S159" s="2025"/>
    </row>
    <row r="160" spans="1:19" s="474" customFormat="1" ht="15">
      <c r="A160" s="2099"/>
      <c r="B160" s="2100"/>
      <c r="C160" s="2100"/>
      <c r="D160" s="2100"/>
      <c r="E160" s="2099"/>
      <c r="F160" s="2099"/>
      <c r="G160" s="2116" t="s">
        <v>228</v>
      </c>
      <c r="H160" s="2116"/>
      <c r="I160" s="2116"/>
      <c r="J160" s="2120"/>
      <c r="K160" s="2118"/>
      <c r="L160" s="2119"/>
      <c r="M160" s="2118">
        <f>ROUND(SUM(M161:M161),Config!C103)</f>
        <v>13870</v>
      </c>
      <c r="N160" s="2106"/>
      <c r="O160" s="2106"/>
      <c r="P160" s="1952"/>
      <c r="Q160" s="2025"/>
      <c r="R160" s="2025"/>
      <c r="S160" s="2025"/>
    </row>
    <row r="161" spans="1:19" s="474" customFormat="1" ht="15">
      <c r="A161" s="2099"/>
      <c r="B161" s="2100"/>
      <c r="C161" s="2100"/>
      <c r="D161" s="2100"/>
      <c r="E161" s="2099"/>
      <c r="F161" s="2099" t="s">
        <v>1889</v>
      </c>
      <c r="G161" s="2115" t="s">
        <v>1890</v>
      </c>
      <c r="H161" s="2099" t="s">
        <v>1836</v>
      </c>
      <c r="I161" s="2099"/>
      <c r="J161" s="2102">
        <v>0.4</v>
      </c>
      <c r="K161" s="2171">
        <f>'TH vat tu XD'!G45</f>
        <v>34676</v>
      </c>
      <c r="L161" s="2104"/>
      <c r="M161" s="2103">
        <f>IF(L161=0,J161*K161,J161*K161*L161)</f>
        <v>13870.400000000001</v>
      </c>
      <c r="N161" s="2106">
        <f>IF(L161=0,I154*J161,I154*J161*L161)</f>
        <v>2.7600000000000003E-2</v>
      </c>
      <c r="O161" s="2106"/>
      <c r="P161" s="1952"/>
      <c r="Q161" s="2025"/>
      <c r="R161" s="2025"/>
      <c r="S161" s="2025"/>
    </row>
    <row r="162" spans="1:19" s="474" customFormat="1" ht="15" hidden="1">
      <c r="A162" s="2099"/>
      <c r="B162" s="2100"/>
      <c r="C162" s="2100"/>
      <c r="D162" s="2100"/>
      <c r="E162" s="2099"/>
      <c r="F162" s="2099"/>
      <c r="G162" s="2101" t="s">
        <v>109</v>
      </c>
      <c r="H162" s="2099"/>
      <c r="I162" s="2099"/>
      <c r="J162" s="2099" t="s">
        <v>333</v>
      </c>
      <c r="K162" s="2103"/>
      <c r="L162" s="2104"/>
      <c r="M162" s="2105">
        <f>M155+M158+M160</f>
        <v>25114635</v>
      </c>
      <c r="N162" s="2106"/>
      <c r="O162" s="2106"/>
      <c r="P162" s="1952"/>
      <c r="Q162" s="2025"/>
      <c r="R162" s="2025"/>
      <c r="S162" s="2025"/>
    </row>
    <row r="163" spans="1:19" s="474" customFormat="1" ht="15" hidden="1">
      <c r="A163" s="2099"/>
      <c r="B163" s="2100"/>
      <c r="C163" s="2100"/>
      <c r="D163" s="2100"/>
      <c r="E163" s="2099"/>
      <c r="F163" s="2099"/>
      <c r="G163" s="2101" t="s">
        <v>378</v>
      </c>
      <c r="H163" s="2099"/>
      <c r="I163" s="2099"/>
      <c r="J163" s="2099" t="str">
        <f ca="1">"T*"&amp;'THCP xay dung'!F48*100&amp;"%"</f>
        <v>T*6,2%</v>
      </c>
      <c r="K163" s="2103"/>
      <c r="L163" s="2104"/>
      <c r="M163" s="2105">
        <f ca="1">M162*'THCP xay dung'!F48*100%</f>
        <v>1557107.3699999999</v>
      </c>
      <c r="N163" s="2106"/>
      <c r="O163" s="2106"/>
      <c r="P163" s="1952"/>
      <c r="Q163" s="2025"/>
      <c r="R163" s="2025"/>
      <c r="S163" s="2025"/>
    </row>
    <row r="164" spans="1:19" s="474" customFormat="1" ht="28.5" hidden="1">
      <c r="A164" s="2099"/>
      <c r="B164" s="2100"/>
      <c r="C164" s="2100"/>
      <c r="D164" s="2100"/>
      <c r="E164" s="2099"/>
      <c r="F164" s="2099"/>
      <c r="G164" s="2101" t="s">
        <v>702</v>
      </c>
      <c r="H164" s="2099"/>
      <c r="I164" s="2099"/>
      <c r="J164" s="2099" t="str">
        <f>IF('THCP xay dung'!G49&lt;&gt;1,"T*"&amp;'THCP xay dung'!F49*100&amp;"%"&amp;"*"&amp;'THCP xay dung'!G49,"T*"&amp;'THCP xay dung'!F49*100&amp;"%")</f>
        <v>T*1,1%</v>
      </c>
      <c r="K164" s="2103"/>
      <c r="L164" s="2104"/>
      <c r="M164" s="2105">
        <f>IF('THCP xay dung'!G49&lt;&gt;1,M162*'THCP xay dung'!F49*100%*'THCP xay dung'!G49,M162*'THCP xay dung'!F49*100%)</f>
        <v>276260.98500000004</v>
      </c>
      <c r="N164" s="2106"/>
      <c r="O164" s="2106"/>
      <c r="P164" s="1952"/>
      <c r="Q164" s="2025"/>
      <c r="R164" s="2025"/>
      <c r="S164" s="2025"/>
    </row>
    <row r="165" spans="1:19" s="474" customFormat="1" ht="42.75" hidden="1">
      <c r="A165" s="2099"/>
      <c r="B165" s="2100"/>
      <c r="C165" s="2100"/>
      <c r="D165" s="2100"/>
      <c r="E165" s="2099"/>
      <c r="F165" s="2099"/>
      <c r="G165" s="2101" t="s">
        <v>703</v>
      </c>
      <c r="H165" s="2099"/>
      <c r="I165" s="2099"/>
      <c r="J165" s="2099" t="str">
        <f ca="1">"T*"&amp;'THCP xay dung'!F50*100&amp;"%"</f>
        <v>T*2%</v>
      </c>
      <c r="K165" s="2103"/>
      <c r="L165" s="2104"/>
      <c r="M165" s="2105">
        <f ca="1">M162*'THCP xay dung'!F50*100%</f>
        <v>502292.7</v>
      </c>
      <c r="N165" s="2106"/>
      <c r="O165" s="2106"/>
      <c r="P165" s="1952"/>
      <c r="Q165" s="2025"/>
      <c r="R165" s="2025"/>
      <c r="S165" s="2025"/>
    </row>
    <row r="166" spans="1:19" s="474" customFormat="1" ht="15" hidden="1">
      <c r="A166" s="2099"/>
      <c r="B166" s="2100"/>
      <c r="C166" s="2100"/>
      <c r="D166" s="2100"/>
      <c r="E166" s="2099"/>
      <c r="F166" s="2099"/>
      <c r="G166" s="2101" t="s">
        <v>701</v>
      </c>
      <c r="H166" s="2099"/>
      <c r="I166" s="2099"/>
      <c r="J166" s="2099" t="s">
        <v>931</v>
      </c>
      <c r="K166" s="2103"/>
      <c r="L166" s="2104"/>
      <c r="M166" s="2105">
        <f ca="1">M163+M164+M165</f>
        <v>2335661.0550000002</v>
      </c>
      <c r="N166" s="2106"/>
      <c r="O166" s="2106"/>
      <c r="P166" s="1952"/>
      <c r="Q166" s="2025"/>
      <c r="R166" s="2025"/>
      <c r="S166" s="2025"/>
    </row>
    <row r="167" spans="1:19" s="474" customFormat="1" ht="15" hidden="1">
      <c r="A167" s="2099"/>
      <c r="B167" s="2100"/>
      <c r="C167" s="2100"/>
      <c r="D167" s="2100"/>
      <c r="E167" s="2099"/>
      <c r="F167" s="2099"/>
      <c r="G167" s="2101" t="s">
        <v>574</v>
      </c>
      <c r="H167" s="2099"/>
      <c r="I167" s="2099"/>
      <c r="J167" s="2099" t="str">
        <f ca="1">"(T+GT)*"&amp;'THCP xay dung'!F52*100&amp;"%"</f>
        <v>(T+GT)*6%</v>
      </c>
      <c r="K167" s="2103"/>
      <c r="L167" s="2104"/>
      <c r="M167" s="2105">
        <f ca="1">(M162+M166)*'THCP xay dung'!F52*100%</f>
        <v>1647017.7633</v>
      </c>
      <c r="N167" s="2106"/>
      <c r="O167" s="2106"/>
      <c r="P167" s="1952"/>
      <c r="Q167" s="2025"/>
      <c r="R167" s="2025"/>
      <c r="S167" s="2025"/>
    </row>
    <row r="168" spans="1:19" s="474" customFormat="1" ht="15" hidden="1">
      <c r="A168" s="2099"/>
      <c r="B168" s="2100"/>
      <c r="C168" s="2100"/>
      <c r="D168" s="2100"/>
      <c r="E168" s="2099"/>
      <c r="F168" s="2099"/>
      <c r="G168" s="2101" t="s">
        <v>113</v>
      </c>
      <c r="H168" s="2099"/>
      <c r="I168" s="2099"/>
      <c r="J168" s="2099" t="s">
        <v>705</v>
      </c>
      <c r="K168" s="2103"/>
      <c r="L168" s="2104"/>
      <c r="M168" s="2105">
        <f ca="1">M162+M166+M167</f>
        <v>29097313.818300001</v>
      </c>
      <c r="N168" s="2106"/>
      <c r="O168" s="2106"/>
      <c r="P168" s="1952"/>
      <c r="Q168" s="2025"/>
      <c r="R168" s="2025"/>
      <c r="S168" s="2025"/>
    </row>
    <row r="169" spans="1:19" s="474" customFormat="1" ht="15" hidden="1">
      <c r="A169" s="2099"/>
      <c r="B169" s="2100"/>
      <c r="C169" s="2100"/>
      <c r="D169" s="2100"/>
      <c r="E169" s="2099"/>
      <c r="F169" s="2099"/>
      <c r="G169" s="2101" t="s">
        <v>575</v>
      </c>
      <c r="H169" s="2099"/>
      <c r="I169" s="2099"/>
      <c r="J169" s="2099" t="str">
        <f>"G*"&amp;'THCP xay dung'!F54*100&amp;"%"</f>
        <v>G*10%</v>
      </c>
      <c r="K169" s="2103"/>
      <c r="L169" s="2104"/>
      <c r="M169" s="2105">
        <f ca="1">M168*'THCP xay dung'!F54*100%</f>
        <v>2909731.3818300003</v>
      </c>
      <c r="N169" s="2106"/>
      <c r="O169" s="2106"/>
      <c r="P169" s="1952"/>
      <c r="Q169" s="2025"/>
      <c r="R169" s="2025"/>
      <c r="S169" s="2025"/>
    </row>
    <row r="170" spans="1:19" s="474" customFormat="1" ht="15" hidden="1">
      <c r="A170" s="2099"/>
      <c r="B170" s="2100"/>
      <c r="C170" s="2100"/>
      <c r="D170" s="2100"/>
      <c r="E170" s="2099"/>
      <c r="F170" s="2099"/>
      <c r="G170" s="2101" t="s">
        <v>117</v>
      </c>
      <c r="H170" s="2099"/>
      <c r="I170" s="2099"/>
      <c r="J170" s="2099" t="s">
        <v>596</v>
      </c>
      <c r="K170" s="2103"/>
      <c r="L170" s="2104"/>
      <c r="M170" s="2105">
        <f ca="1">M168+M169</f>
        <v>32007045.200130001</v>
      </c>
      <c r="N170" s="2106"/>
      <c r="O170" s="2106"/>
      <c r="P170" s="1952"/>
      <c r="Q170" s="2025"/>
      <c r="R170" s="2025"/>
      <c r="S170" s="2025"/>
    </row>
    <row r="171" spans="1:19" s="474" customFormat="1" ht="15" hidden="1">
      <c r="A171" s="2099"/>
      <c r="B171" s="2100"/>
      <c r="C171" s="2100"/>
      <c r="D171" s="2100"/>
      <c r="E171" s="2099"/>
      <c r="F171" s="2099"/>
      <c r="G171" s="2101" t="s">
        <v>168</v>
      </c>
      <c r="H171" s="2099"/>
      <c r="I171" s="2099"/>
      <c r="J171" s="2099" t="str">
        <f ca="1">"GXD*"&amp;'THCP xay dung'!F56*100&amp;"%"</f>
        <v>GXD*6%</v>
      </c>
      <c r="K171" s="2103"/>
      <c r="L171" s="2104"/>
      <c r="M171" s="2105">
        <f ca="1">M170*'THCP xay dung'!F56*100%</f>
        <v>1920422.7120077999</v>
      </c>
      <c r="N171" s="2106"/>
      <c r="O171" s="2106"/>
      <c r="P171" s="1952"/>
      <c r="Q171" s="2025"/>
      <c r="R171" s="2025"/>
      <c r="S171" s="2025"/>
    </row>
    <row r="172" spans="1:19" s="474" customFormat="1" ht="15" hidden="1">
      <c r="A172" s="2122" t="s">
        <v>304</v>
      </c>
      <c r="B172" s="2123"/>
      <c r="C172" s="2123"/>
      <c r="D172" s="2123"/>
      <c r="E172" s="2122"/>
      <c r="F172" s="2122"/>
      <c r="G172" s="2109" t="s">
        <v>1837</v>
      </c>
      <c r="H172" s="2107"/>
      <c r="I172" s="2107"/>
      <c r="J172" s="2107" t="s">
        <v>1636</v>
      </c>
      <c r="K172" s="2110"/>
      <c r="L172" s="2111"/>
      <c r="M172" s="2112">
        <f ca="1">M170+M171</f>
        <v>33927467.912137799</v>
      </c>
      <c r="N172" s="2113"/>
      <c r="O172" s="2113"/>
      <c r="P172" s="1952"/>
      <c r="Q172" s="2025"/>
      <c r="R172" s="2025"/>
      <c r="S172" s="2025"/>
    </row>
    <row r="173" spans="1:19" s="474" customFormat="1" ht="30">
      <c r="A173" s="2124">
        <v>70</v>
      </c>
      <c r="B173" s="2125">
        <f>'Du toan XD'!B91</f>
        <v>5</v>
      </c>
      <c r="C173" s="2125"/>
      <c r="D173" s="2125" t="s">
        <v>1545</v>
      </c>
      <c r="E173" s="2126" t="s">
        <v>1545</v>
      </c>
      <c r="F173" s="2126"/>
      <c r="G173" s="2132" t="str">
        <f>'Du toan XD'!F91</f>
        <v>Gia công, lắp dựng cốt thép móng, đường kính ≤18mm</v>
      </c>
      <c r="H173" s="2126" t="str">
        <f>'Du toan XD'!G91</f>
        <v>tấn</v>
      </c>
      <c r="I173" s="2126">
        <f>'Du toan XD'!H91</f>
        <v>0.54039999999999999</v>
      </c>
      <c r="J173" s="2127"/>
      <c r="K173" s="2128"/>
      <c r="L173" s="2129"/>
      <c r="M173" s="2128"/>
      <c r="N173" s="2130"/>
      <c r="O173" s="2131"/>
      <c r="P173" s="1952">
        <f>M174</f>
        <v>22788000</v>
      </c>
      <c r="Q173" s="2025"/>
      <c r="R173" s="2025">
        <f>M178</f>
        <v>1752595</v>
      </c>
      <c r="S173" s="2025">
        <f>M180</f>
        <v>145718</v>
      </c>
    </row>
    <row r="174" spans="1:19" s="474" customFormat="1" ht="15">
      <c r="A174" s="2050"/>
      <c r="B174" s="2051"/>
      <c r="C174" s="2051"/>
      <c r="D174" s="2051"/>
      <c r="E174" s="2052"/>
      <c r="F174" s="2052"/>
      <c r="G174" s="2067" t="s">
        <v>224</v>
      </c>
      <c r="H174" s="2067"/>
      <c r="I174" s="2067"/>
      <c r="J174" s="2134"/>
      <c r="K174" s="2069"/>
      <c r="L174" s="2070"/>
      <c r="M174" s="2069">
        <f>ROUND(SUM(M175:M177),Config!C103)</f>
        <v>22788000</v>
      </c>
      <c r="N174" s="2056"/>
      <c r="O174" s="2057"/>
      <c r="P174" s="1952"/>
      <c r="Q174" s="2025"/>
      <c r="R174" s="2025"/>
      <c r="S174" s="2025"/>
    </row>
    <row r="175" spans="1:19" s="474" customFormat="1" ht="15">
      <c r="A175" s="2050"/>
      <c r="B175" s="2051"/>
      <c r="C175" s="2051"/>
      <c r="D175" s="2051"/>
      <c r="E175" s="2052"/>
      <c r="F175" s="2052" t="s">
        <v>1892</v>
      </c>
      <c r="G175" s="2053" t="s">
        <v>1893</v>
      </c>
      <c r="H175" s="2052" t="s">
        <v>1856</v>
      </c>
      <c r="I175" s="2052"/>
      <c r="J175" s="2073">
        <v>1020</v>
      </c>
      <c r="K175" s="2170">
        <f>'TH vat tu XD'!G37</f>
        <v>22000</v>
      </c>
      <c r="L175" s="2054"/>
      <c r="M175" s="2055">
        <f>IF(L175=0,J175*K175,J175*K175*L175)</f>
        <v>22440000</v>
      </c>
      <c r="N175" s="2056">
        <f>IF(L175=0,I173*J175,I173*J175*L175)</f>
        <v>551.20799999999997</v>
      </c>
      <c r="O175" s="2057"/>
      <c r="P175" s="1952"/>
      <c r="Q175" s="2025"/>
      <c r="R175" s="2025"/>
      <c r="S175" s="2025"/>
    </row>
    <row r="176" spans="1:19" s="474" customFormat="1" ht="15">
      <c r="A176" s="2050"/>
      <c r="B176" s="2051"/>
      <c r="C176" s="2051"/>
      <c r="D176" s="2051"/>
      <c r="E176" s="2052"/>
      <c r="F176" s="2052" t="s">
        <v>1887</v>
      </c>
      <c r="G176" s="2053" t="s">
        <v>1888</v>
      </c>
      <c r="H176" s="2052" t="s">
        <v>1856</v>
      </c>
      <c r="I176" s="2052"/>
      <c r="J176" s="2073">
        <v>9.2799999999999994</v>
      </c>
      <c r="K176" s="2170">
        <f>'TH vat tu XD'!G30</f>
        <v>27000</v>
      </c>
      <c r="L176" s="2054"/>
      <c r="M176" s="2055">
        <f>IF(L176=0,J176*K176,J176*K176*L176)</f>
        <v>250559.99999999997</v>
      </c>
      <c r="N176" s="2056">
        <f>IF(L176=0,I173*J176,I173*J176*L176)</f>
        <v>5.0149119999999998</v>
      </c>
      <c r="O176" s="2057"/>
      <c r="P176" s="1952"/>
      <c r="Q176" s="2025"/>
      <c r="R176" s="2025"/>
      <c r="S176" s="2025"/>
    </row>
    <row r="177" spans="1:19" s="474" customFormat="1" ht="15">
      <c r="A177" s="2050"/>
      <c r="B177" s="2051"/>
      <c r="C177" s="2051"/>
      <c r="D177" s="2051"/>
      <c r="E177" s="2052"/>
      <c r="F177" s="2052" t="s">
        <v>1894</v>
      </c>
      <c r="G177" s="2053" t="s">
        <v>1895</v>
      </c>
      <c r="H177" s="2052" t="s">
        <v>1856</v>
      </c>
      <c r="I177" s="2052"/>
      <c r="J177" s="2073">
        <v>4.6399999999999997</v>
      </c>
      <c r="K177" s="2170">
        <f>'TH vat tu XD'!G35</f>
        <v>21000</v>
      </c>
      <c r="L177" s="2054"/>
      <c r="M177" s="2055">
        <f>IF(L177=0,J177*K177,J177*K177*L177)</f>
        <v>97440</v>
      </c>
      <c r="N177" s="2056">
        <f>IF(L177=0,I173*J177,I173*J177*L177)</f>
        <v>2.5074559999999999</v>
      </c>
      <c r="O177" s="2057"/>
      <c r="P177" s="1952"/>
      <c r="Q177" s="2025"/>
      <c r="R177" s="2025"/>
      <c r="S177" s="2025"/>
    </row>
    <row r="178" spans="1:19" s="474" customFormat="1" ht="15">
      <c r="A178" s="2050"/>
      <c r="B178" s="2051"/>
      <c r="C178" s="2051"/>
      <c r="D178" s="2051"/>
      <c r="E178" s="2052"/>
      <c r="F178" s="2052"/>
      <c r="G178" s="2067" t="s">
        <v>225</v>
      </c>
      <c r="H178" s="2067"/>
      <c r="I178" s="2067"/>
      <c r="J178" s="2134"/>
      <c r="K178" s="2069"/>
      <c r="L178" s="2070"/>
      <c r="M178" s="2069">
        <f>ROUND(SUM(M179:M179),Config!C103)</f>
        <v>1752595</v>
      </c>
      <c r="N178" s="2056"/>
      <c r="O178" s="2057"/>
      <c r="P178" s="1952"/>
      <c r="Q178" s="2025"/>
      <c r="R178" s="2025"/>
      <c r="S178" s="2025"/>
    </row>
    <row r="179" spans="1:19" s="474" customFormat="1" ht="15">
      <c r="A179" s="2050"/>
      <c r="B179" s="2051"/>
      <c r="C179" s="2051"/>
      <c r="D179" s="2051"/>
      <c r="E179" s="2052"/>
      <c r="F179" s="2052" t="s">
        <v>1866</v>
      </c>
      <c r="G179" s="2053" t="s">
        <v>1867</v>
      </c>
      <c r="H179" s="2052" t="s">
        <v>1833</v>
      </c>
      <c r="I179" s="2052"/>
      <c r="J179" s="2073">
        <v>7.67</v>
      </c>
      <c r="K179" s="2170">
        <f>'TH vat tu XD'!G42</f>
        <v>228500</v>
      </c>
      <c r="L179" s="2054"/>
      <c r="M179" s="2055">
        <f>IF(L179=0,J179*K179,J179*K179*L179)</f>
        <v>1752595</v>
      </c>
      <c r="N179" s="2056">
        <f>IF(L179=0,I173*J179,I173*J179*L179)</f>
        <v>4.1448679999999998</v>
      </c>
      <c r="O179" s="2057"/>
      <c r="P179" s="1952"/>
      <c r="Q179" s="2025"/>
      <c r="R179" s="2025"/>
      <c r="S179" s="2025"/>
    </row>
    <row r="180" spans="1:19" s="474" customFormat="1" ht="15">
      <c r="A180" s="2050"/>
      <c r="B180" s="2051"/>
      <c r="C180" s="2051"/>
      <c r="D180" s="2051"/>
      <c r="E180" s="2052"/>
      <c r="F180" s="2052"/>
      <c r="G180" s="2067" t="s">
        <v>228</v>
      </c>
      <c r="H180" s="2067"/>
      <c r="I180" s="2067"/>
      <c r="J180" s="2134"/>
      <c r="K180" s="2069"/>
      <c r="L180" s="2070"/>
      <c r="M180" s="2069">
        <f>ROUND(SUM(M181:M182),Config!C103)</f>
        <v>145718</v>
      </c>
      <c r="N180" s="2056"/>
      <c r="O180" s="2057"/>
      <c r="P180" s="1952"/>
      <c r="Q180" s="2025"/>
      <c r="R180" s="2025"/>
      <c r="S180" s="2025"/>
    </row>
    <row r="181" spans="1:19" s="474" customFormat="1" ht="15">
      <c r="A181" s="2050"/>
      <c r="B181" s="2051"/>
      <c r="C181" s="2051"/>
      <c r="D181" s="2051"/>
      <c r="E181" s="2052"/>
      <c r="F181" s="2052" t="s">
        <v>1896</v>
      </c>
      <c r="G181" s="2053" t="s">
        <v>1897</v>
      </c>
      <c r="H181" s="2052" t="s">
        <v>1836</v>
      </c>
      <c r="I181" s="2052"/>
      <c r="J181" s="2073">
        <v>1.1200000000000001</v>
      </c>
      <c r="K181" s="2170">
        <f>'TH vat tu XD'!G48</f>
        <v>120198</v>
      </c>
      <c r="L181" s="2054"/>
      <c r="M181" s="2055">
        <f>IF(L181=0,J181*K181,J181*K181*L181)</f>
        <v>134621.76000000001</v>
      </c>
      <c r="N181" s="2056">
        <f>IF(L181=0,I173*J181,I173*J181*L181)</f>
        <v>0.60524800000000001</v>
      </c>
      <c r="O181" s="2057"/>
      <c r="P181" s="1952"/>
      <c r="Q181" s="2025"/>
      <c r="R181" s="2025"/>
      <c r="S181" s="2025"/>
    </row>
    <row r="182" spans="1:19" s="474" customFormat="1" ht="15">
      <c r="A182" s="2050"/>
      <c r="B182" s="2051"/>
      <c r="C182" s="2051"/>
      <c r="D182" s="2051"/>
      <c r="E182" s="2052"/>
      <c r="F182" s="2052" t="s">
        <v>1889</v>
      </c>
      <c r="G182" s="2053" t="s">
        <v>1890</v>
      </c>
      <c r="H182" s="2052" t="s">
        <v>1836</v>
      </c>
      <c r="I182" s="2052"/>
      <c r="J182" s="2073">
        <v>0.32</v>
      </c>
      <c r="K182" s="2170">
        <f>'TH vat tu XD'!G45</f>
        <v>34676</v>
      </c>
      <c r="L182" s="2054"/>
      <c r="M182" s="2055">
        <f>IF(L182=0,J182*K182,J182*K182*L182)</f>
        <v>11096.32</v>
      </c>
      <c r="N182" s="2056">
        <f>IF(L182=0,I173*J182,I173*J182*L182)</f>
        <v>0.172928</v>
      </c>
      <c r="O182" s="2057"/>
      <c r="P182" s="1952"/>
      <c r="Q182" s="2025"/>
      <c r="R182" s="2025"/>
      <c r="S182" s="2025"/>
    </row>
    <row r="183" spans="1:19" s="474" customFormat="1" ht="15" hidden="1">
      <c r="A183" s="2050"/>
      <c r="B183" s="2051"/>
      <c r="C183" s="2051"/>
      <c r="D183" s="2051"/>
      <c r="E183" s="2052"/>
      <c r="F183" s="2052"/>
      <c r="G183" s="2065" t="s">
        <v>109</v>
      </c>
      <c r="H183" s="2052"/>
      <c r="I183" s="2052"/>
      <c r="J183" s="2052" t="s">
        <v>333</v>
      </c>
      <c r="K183" s="2055"/>
      <c r="L183" s="2054"/>
      <c r="M183" s="2066">
        <f>M174+M178+M180</f>
        <v>24686313</v>
      </c>
      <c r="N183" s="2056"/>
      <c r="O183" s="2057"/>
      <c r="P183" s="1952"/>
      <c r="Q183" s="2025"/>
      <c r="R183" s="2025"/>
      <c r="S183" s="2025"/>
    </row>
    <row r="184" spans="1:19" s="474" customFormat="1" ht="15" hidden="1">
      <c r="A184" s="2050"/>
      <c r="B184" s="2051"/>
      <c r="C184" s="2051"/>
      <c r="D184" s="2051"/>
      <c r="E184" s="2052"/>
      <c r="F184" s="2052"/>
      <c r="G184" s="2065" t="s">
        <v>378</v>
      </c>
      <c r="H184" s="2052"/>
      <c r="I184" s="2052"/>
      <c r="J184" s="2052" t="str">
        <f ca="1">"T*"&amp;'THCP xay dung'!F48*100&amp;"%"</f>
        <v>T*6,2%</v>
      </c>
      <c r="K184" s="2055"/>
      <c r="L184" s="2054"/>
      <c r="M184" s="2066">
        <f ca="1">M183*'THCP xay dung'!F48*100%</f>
        <v>1530551.406</v>
      </c>
      <c r="N184" s="2056"/>
      <c r="O184" s="2057"/>
      <c r="P184" s="1952"/>
      <c r="Q184" s="2025"/>
      <c r="R184" s="2025"/>
      <c r="S184" s="2025"/>
    </row>
    <row r="185" spans="1:19" s="474" customFormat="1" ht="28.5" hidden="1">
      <c r="A185" s="2050"/>
      <c r="B185" s="2051"/>
      <c r="C185" s="2051"/>
      <c r="D185" s="2051"/>
      <c r="E185" s="2052"/>
      <c r="F185" s="2052"/>
      <c r="G185" s="2065" t="s">
        <v>702</v>
      </c>
      <c r="H185" s="2052"/>
      <c r="I185" s="2052"/>
      <c r="J185" s="2052" t="str">
        <f>IF('THCP xay dung'!G49&lt;&gt;1,"T*"&amp;'THCP xay dung'!F49*100&amp;"%"&amp;"*"&amp;'THCP xay dung'!G49,"T*"&amp;'THCP xay dung'!F49*100&amp;"%")</f>
        <v>T*1,1%</v>
      </c>
      <c r="K185" s="2055"/>
      <c r="L185" s="2054"/>
      <c r="M185" s="2066">
        <f>IF('THCP xay dung'!G49&lt;&gt;1,M183*'THCP xay dung'!F49*100%*'THCP xay dung'!G49,M183*'THCP xay dung'!F49*100%)</f>
        <v>271549.44300000003</v>
      </c>
      <c r="N185" s="2056"/>
      <c r="O185" s="2057"/>
      <c r="P185" s="1952"/>
      <c r="Q185" s="2025"/>
      <c r="R185" s="2025"/>
      <c r="S185" s="2025"/>
    </row>
    <row r="186" spans="1:19" s="474" customFormat="1" ht="42.75" hidden="1">
      <c r="A186" s="2050"/>
      <c r="B186" s="2051"/>
      <c r="C186" s="2051"/>
      <c r="D186" s="2051"/>
      <c r="E186" s="2052"/>
      <c r="F186" s="2052"/>
      <c r="G186" s="2065" t="s">
        <v>703</v>
      </c>
      <c r="H186" s="2052"/>
      <c r="I186" s="2052"/>
      <c r="J186" s="2052" t="str">
        <f ca="1">"T*"&amp;'THCP xay dung'!F50*100&amp;"%"</f>
        <v>T*2%</v>
      </c>
      <c r="K186" s="2055"/>
      <c r="L186" s="2054"/>
      <c r="M186" s="2066">
        <f ca="1">M183*'THCP xay dung'!F50*100%</f>
        <v>493726.26</v>
      </c>
      <c r="N186" s="2056"/>
      <c r="O186" s="2057"/>
      <c r="P186" s="1952"/>
      <c r="Q186" s="2025"/>
      <c r="R186" s="2025"/>
      <c r="S186" s="2025"/>
    </row>
    <row r="187" spans="1:19" s="474" customFormat="1" ht="15" hidden="1">
      <c r="A187" s="2050"/>
      <c r="B187" s="2051"/>
      <c r="C187" s="2051"/>
      <c r="D187" s="2051"/>
      <c r="E187" s="2052"/>
      <c r="F187" s="2052"/>
      <c r="G187" s="2065" t="s">
        <v>701</v>
      </c>
      <c r="H187" s="2052"/>
      <c r="I187" s="2052"/>
      <c r="J187" s="2052" t="s">
        <v>931</v>
      </c>
      <c r="K187" s="2055"/>
      <c r="L187" s="2054"/>
      <c r="M187" s="2066">
        <f ca="1">M184+M185+M186</f>
        <v>2295827.1090000002</v>
      </c>
      <c r="N187" s="2056"/>
      <c r="O187" s="2057"/>
      <c r="P187" s="1952"/>
      <c r="Q187" s="2025"/>
      <c r="R187" s="2025"/>
      <c r="S187" s="2025"/>
    </row>
    <row r="188" spans="1:19" s="474" customFormat="1" ht="15" hidden="1">
      <c r="A188" s="2050"/>
      <c r="B188" s="2051"/>
      <c r="C188" s="2051"/>
      <c r="D188" s="2051"/>
      <c r="E188" s="2052"/>
      <c r="F188" s="2052"/>
      <c r="G188" s="2065" t="s">
        <v>574</v>
      </c>
      <c r="H188" s="2052"/>
      <c r="I188" s="2052"/>
      <c r="J188" s="2052" t="str">
        <f ca="1">"(T+GT)*"&amp;'THCP xay dung'!F52*100&amp;"%"</f>
        <v>(T+GT)*6%</v>
      </c>
      <c r="K188" s="2055"/>
      <c r="L188" s="2054"/>
      <c r="M188" s="2066">
        <f ca="1">(M183+M187)*'THCP xay dung'!F52*100%</f>
        <v>1618928.4065400001</v>
      </c>
      <c r="N188" s="2056"/>
      <c r="O188" s="2057"/>
      <c r="P188" s="1952"/>
      <c r="Q188" s="2025"/>
      <c r="R188" s="2025"/>
      <c r="S188" s="2025"/>
    </row>
    <row r="189" spans="1:19" s="474" customFormat="1" ht="15" hidden="1">
      <c r="A189" s="2050"/>
      <c r="B189" s="2051"/>
      <c r="C189" s="2051"/>
      <c r="D189" s="2051"/>
      <c r="E189" s="2052"/>
      <c r="F189" s="2052"/>
      <c r="G189" s="2065" t="s">
        <v>113</v>
      </c>
      <c r="H189" s="2052"/>
      <c r="I189" s="2052"/>
      <c r="J189" s="2052" t="s">
        <v>705</v>
      </c>
      <c r="K189" s="2055"/>
      <c r="L189" s="2054"/>
      <c r="M189" s="2066">
        <f ca="1">M183+M187+M188</f>
        <v>28601068.51554</v>
      </c>
      <c r="N189" s="2056"/>
      <c r="O189" s="2057"/>
      <c r="P189" s="1952"/>
      <c r="Q189" s="2025"/>
      <c r="R189" s="2025"/>
      <c r="S189" s="2025"/>
    </row>
    <row r="190" spans="1:19" s="474" customFormat="1" ht="15" hidden="1">
      <c r="A190" s="2050"/>
      <c r="B190" s="2051"/>
      <c r="C190" s="2051"/>
      <c r="D190" s="2051"/>
      <c r="E190" s="2052"/>
      <c r="F190" s="2052"/>
      <c r="G190" s="2065" t="s">
        <v>575</v>
      </c>
      <c r="H190" s="2052"/>
      <c r="I190" s="2052"/>
      <c r="J190" s="2052" t="str">
        <f>"G*"&amp;'THCP xay dung'!F54*100&amp;"%"</f>
        <v>G*10%</v>
      </c>
      <c r="K190" s="2055"/>
      <c r="L190" s="2054"/>
      <c r="M190" s="2066">
        <f ca="1">M189*'THCP xay dung'!F54*100%</f>
        <v>2860106.8515540003</v>
      </c>
      <c r="N190" s="2056"/>
      <c r="O190" s="2057"/>
      <c r="P190" s="1952"/>
      <c r="Q190" s="2025"/>
      <c r="R190" s="2025"/>
      <c r="S190" s="2025"/>
    </row>
    <row r="191" spans="1:19" s="474" customFormat="1" ht="15" hidden="1">
      <c r="A191" s="2050"/>
      <c r="B191" s="2051"/>
      <c r="C191" s="2051"/>
      <c r="D191" s="2051"/>
      <c r="E191" s="2052"/>
      <c r="F191" s="2052"/>
      <c r="G191" s="2065" t="s">
        <v>117</v>
      </c>
      <c r="H191" s="2052"/>
      <c r="I191" s="2052"/>
      <c r="J191" s="2052" t="s">
        <v>596</v>
      </c>
      <c r="K191" s="2055"/>
      <c r="L191" s="2054"/>
      <c r="M191" s="2066">
        <f ca="1">M189+M190</f>
        <v>31461175.367093999</v>
      </c>
      <c r="N191" s="2056"/>
      <c r="O191" s="2057"/>
      <c r="P191" s="1952"/>
      <c r="Q191" s="2025"/>
      <c r="R191" s="2025"/>
      <c r="S191" s="2025"/>
    </row>
    <row r="192" spans="1:19" s="474" customFormat="1" ht="15" hidden="1">
      <c r="A192" s="2050"/>
      <c r="B192" s="2051"/>
      <c r="C192" s="2051"/>
      <c r="D192" s="2051"/>
      <c r="E192" s="2052"/>
      <c r="F192" s="2052"/>
      <c r="G192" s="2065" t="s">
        <v>168</v>
      </c>
      <c r="H192" s="2052"/>
      <c r="I192" s="2052"/>
      <c r="J192" s="2052" t="str">
        <f ca="1">"GXD*"&amp;'THCP xay dung'!F56*100&amp;"%"</f>
        <v>GXD*6%</v>
      </c>
      <c r="K192" s="2055"/>
      <c r="L192" s="2054"/>
      <c r="M192" s="2066">
        <f ca="1">M191*'THCP xay dung'!F56*100%</f>
        <v>1887670.5220256399</v>
      </c>
      <c r="N192" s="2056"/>
      <c r="O192" s="2057"/>
      <c r="P192" s="1952"/>
      <c r="Q192" s="2025"/>
      <c r="R192" s="2025"/>
      <c r="S192" s="2025"/>
    </row>
    <row r="193" spans="1:19" s="474" customFormat="1" ht="15" hidden="1">
      <c r="A193" s="2090" t="s">
        <v>304</v>
      </c>
      <c r="B193" s="2091"/>
      <c r="C193" s="2091"/>
      <c r="D193" s="2091"/>
      <c r="E193" s="2092"/>
      <c r="F193" s="2092"/>
      <c r="G193" s="2075" t="s">
        <v>1837</v>
      </c>
      <c r="H193" s="2060"/>
      <c r="I193" s="2060"/>
      <c r="J193" s="2060" t="s">
        <v>1636</v>
      </c>
      <c r="K193" s="2062"/>
      <c r="L193" s="2061"/>
      <c r="M193" s="2074">
        <f ca="1">M191+M192</f>
        <v>33348845.88911964</v>
      </c>
      <c r="N193" s="2063"/>
      <c r="O193" s="2064"/>
      <c r="P193" s="1952"/>
      <c r="Q193" s="2025"/>
      <c r="R193" s="2025"/>
      <c r="S193" s="2025"/>
    </row>
    <row r="194" spans="1:19" s="474" customFormat="1" ht="75">
      <c r="A194" s="2248">
        <v>71</v>
      </c>
      <c r="B194" s="2266">
        <f>'Du toan XD'!B94</f>
        <v>6</v>
      </c>
      <c r="C194" s="2266" t="s">
        <v>1898</v>
      </c>
      <c r="D194" s="2266" t="s">
        <v>1899</v>
      </c>
      <c r="E194" s="2248" t="s">
        <v>1546</v>
      </c>
      <c r="F194" s="2248"/>
      <c r="G194" s="2267" t="str">
        <f>'Du toan XD'!F94</f>
        <v>Bê tông đá dăm sản xuất bằng máy trộn, đổ bằng thủ công, bê tông móng rộng ≤250cm đá 1x2, vữa bê tông XM PCB40 mác 200</v>
      </c>
      <c r="H194" s="2248" t="str">
        <f>'Du toan XD'!G94</f>
        <v>m³</v>
      </c>
      <c r="I194" s="2248">
        <f>'Du toan XD'!H94</f>
        <v>2.5526999999999997</v>
      </c>
      <c r="J194" s="2249"/>
      <c r="K194" s="2250"/>
      <c r="L194" s="2251"/>
      <c r="M194" s="2250"/>
      <c r="N194" s="2131"/>
      <c r="O194" s="2131"/>
      <c r="P194" s="1952">
        <f>M195</f>
        <v>758092</v>
      </c>
      <c r="Q194" s="2025"/>
      <c r="R194" s="2025">
        <f>M201</f>
        <v>257017</v>
      </c>
      <c r="S194" s="2025">
        <f>M203</f>
        <v>9735</v>
      </c>
    </row>
    <row r="195" spans="1:19" s="474" customFormat="1" ht="15">
      <c r="A195" s="2253"/>
      <c r="B195" s="2268"/>
      <c r="C195" s="2268"/>
      <c r="D195" s="2268"/>
      <c r="E195" s="2253"/>
      <c r="F195" s="2253"/>
      <c r="G195" s="2271" t="s">
        <v>224</v>
      </c>
      <c r="H195" s="2271"/>
      <c r="I195" s="2271"/>
      <c r="J195" s="2274"/>
      <c r="K195" s="2272"/>
      <c r="L195" s="2273"/>
      <c r="M195" s="2272">
        <f>ROUND(SUM(M196:M200),Config!C103)</f>
        <v>758092</v>
      </c>
      <c r="N195" s="2258"/>
      <c r="O195" s="2258"/>
      <c r="P195" s="1952"/>
      <c r="Q195" s="2025"/>
      <c r="R195" s="2025"/>
      <c r="S195" s="2025"/>
    </row>
    <row r="196" spans="1:19" s="474" customFormat="1" ht="15">
      <c r="A196" s="2253"/>
      <c r="B196" s="2268"/>
      <c r="C196" s="2268" t="s">
        <v>1898</v>
      </c>
      <c r="D196" s="2268"/>
      <c r="E196" s="2253"/>
      <c r="F196" s="2253" t="s">
        <v>1901</v>
      </c>
      <c r="G196" s="2269" t="s">
        <v>1902</v>
      </c>
      <c r="H196" s="2253" t="s">
        <v>1856</v>
      </c>
      <c r="I196" s="2253"/>
      <c r="J196" s="2254">
        <f>259*1.025</f>
        <v>265.47499999999997</v>
      </c>
      <c r="K196" s="2363">
        <f>'TH vat tu XD'!G39</f>
        <v>1380</v>
      </c>
      <c r="L196" s="2256"/>
      <c r="M196" s="2255">
        <f>IF(L196=0,J196*K196,J196*K196*L196)</f>
        <v>366355.49999999994</v>
      </c>
      <c r="N196" s="2258">
        <f>IF(L196=0,I194*J196,I194*J196*L196)</f>
        <v>677.67803249999986</v>
      </c>
      <c r="O196" s="2258">
        <f>J200%*N196</f>
        <v>6.7767803249999989</v>
      </c>
      <c r="P196" s="1952"/>
      <c r="Q196" s="2025"/>
      <c r="R196" s="2025"/>
      <c r="S196" s="2025"/>
    </row>
    <row r="197" spans="1:19" s="474" customFormat="1" ht="15">
      <c r="A197" s="2253"/>
      <c r="B197" s="2268"/>
      <c r="C197" s="2268" t="s">
        <v>1898</v>
      </c>
      <c r="D197" s="2268"/>
      <c r="E197" s="2253"/>
      <c r="F197" s="2253" t="s">
        <v>1903</v>
      </c>
      <c r="G197" s="2269" t="s">
        <v>1904</v>
      </c>
      <c r="H197" s="2253" t="s">
        <v>1848</v>
      </c>
      <c r="I197" s="2253"/>
      <c r="J197" s="2254">
        <f>0.528*1.025</f>
        <v>0.54120000000000001</v>
      </c>
      <c r="K197" s="2363">
        <f>'TH vat tu XD'!G25</f>
        <v>435000</v>
      </c>
      <c r="L197" s="2256"/>
      <c r="M197" s="2255">
        <f>IF(L197=0,J197*K197,J197*K197*L197)</f>
        <v>235422</v>
      </c>
      <c r="N197" s="2258">
        <f>IF(L197=0,I194*J197,I194*J197*L197)</f>
        <v>1.3815212399999999</v>
      </c>
      <c r="O197" s="2258">
        <f>J200%*N197</f>
        <v>1.3815212399999999E-2</v>
      </c>
      <c r="P197" s="1952"/>
      <c r="Q197" s="2025"/>
      <c r="R197" s="2025"/>
      <c r="S197" s="2025"/>
    </row>
    <row r="198" spans="1:19" s="474" customFormat="1" ht="15">
      <c r="A198" s="2253"/>
      <c r="B198" s="2268"/>
      <c r="C198" s="2268" t="s">
        <v>1898</v>
      </c>
      <c r="D198" s="2268"/>
      <c r="E198" s="2253"/>
      <c r="F198" s="2253" t="s">
        <v>1905</v>
      </c>
      <c r="G198" s="2269" t="s">
        <v>1906</v>
      </c>
      <c r="H198" s="2253" t="s">
        <v>1848</v>
      </c>
      <c r="I198" s="2253"/>
      <c r="J198" s="2254">
        <f>0.871*1.025</f>
        <v>0.89277499999999987</v>
      </c>
      <c r="K198" s="2363">
        <f>'TH vat tu XD'!G26</f>
        <v>165000</v>
      </c>
      <c r="L198" s="2256"/>
      <c r="M198" s="2255">
        <f>IF(L198=0,J198*K198,J198*K198*L198)</f>
        <v>147307.87499999997</v>
      </c>
      <c r="N198" s="2258">
        <f>IF(L198=0,I194*J198,I194*J198*L198)</f>
        <v>2.2789867424999994</v>
      </c>
      <c r="O198" s="2258">
        <f>J200%*N198</f>
        <v>2.2789867424999995E-2</v>
      </c>
      <c r="P198" s="1952"/>
      <c r="Q198" s="2025"/>
      <c r="R198" s="2025"/>
      <c r="S198" s="2025"/>
    </row>
    <row r="199" spans="1:19" s="474" customFormat="1" ht="15">
      <c r="A199" s="2253"/>
      <c r="B199" s="2268"/>
      <c r="C199" s="2268" t="s">
        <v>1898</v>
      </c>
      <c r="D199" s="2268"/>
      <c r="E199" s="2253"/>
      <c r="F199" s="2253" t="s">
        <v>1859</v>
      </c>
      <c r="G199" s="2269" t="s">
        <v>1860</v>
      </c>
      <c r="H199" s="2253" t="s">
        <v>1861</v>
      </c>
      <c r="I199" s="2253"/>
      <c r="J199" s="2254">
        <f>183*1.025</f>
        <v>187.57499999999999</v>
      </c>
      <c r="K199" s="2363">
        <f>'TH vat tu XD'!G34</f>
        <v>8</v>
      </c>
      <c r="L199" s="2256"/>
      <c r="M199" s="2255">
        <f>IF(L199=0,J199*K199,J199*K199*L199)</f>
        <v>1500.6</v>
      </c>
      <c r="N199" s="2258">
        <f>IF(L199=0,I194*J199,I194*J199*L199)</f>
        <v>478.82270249999993</v>
      </c>
      <c r="O199" s="2258">
        <f>J200%*N199</f>
        <v>4.7882270249999994</v>
      </c>
      <c r="P199" s="1952"/>
      <c r="Q199" s="2025"/>
      <c r="R199" s="2025"/>
      <c r="S199" s="2025"/>
    </row>
    <row r="200" spans="1:19" s="474" customFormat="1" ht="15">
      <c r="A200" s="2253"/>
      <c r="B200" s="2268"/>
      <c r="C200" s="2268"/>
      <c r="D200" s="2268"/>
      <c r="E200" s="2253"/>
      <c r="F200" s="2253" t="s">
        <v>1882</v>
      </c>
      <c r="G200" s="2269" t="s">
        <v>226</v>
      </c>
      <c r="H200" s="2253" t="s">
        <v>1850</v>
      </c>
      <c r="I200" s="2253"/>
      <c r="J200" s="2254">
        <v>1</v>
      </c>
      <c r="K200" s="2255"/>
      <c r="L200" s="2256"/>
      <c r="M200" s="2255">
        <f>SUM(M196:M199)*J200%</f>
        <v>7505.8597499999996</v>
      </c>
      <c r="N200" s="2258"/>
      <c r="O200" s="2258"/>
      <c r="P200" s="1952"/>
      <c r="Q200" s="2025"/>
      <c r="R200" s="2025"/>
      <c r="S200" s="2025"/>
    </row>
    <row r="201" spans="1:19" s="474" customFormat="1" ht="15">
      <c r="A201" s="2253"/>
      <c r="B201" s="2268"/>
      <c r="C201" s="2268"/>
      <c r="D201" s="2268"/>
      <c r="E201" s="2253"/>
      <c r="F201" s="2253"/>
      <c r="G201" s="2271" t="s">
        <v>225</v>
      </c>
      <c r="H201" s="2271"/>
      <c r="I201" s="2271"/>
      <c r="J201" s="2274"/>
      <c r="K201" s="2272"/>
      <c r="L201" s="2273"/>
      <c r="M201" s="2272">
        <f>ROUND(SUM(M202:M202),Config!C103)</f>
        <v>257017</v>
      </c>
      <c r="N201" s="2258"/>
      <c r="O201" s="2258"/>
      <c r="P201" s="1952"/>
      <c r="Q201" s="2025"/>
      <c r="R201" s="2025"/>
      <c r="S201" s="2025"/>
    </row>
    <row r="202" spans="1:19" s="474" customFormat="1" ht="15">
      <c r="A202" s="2253"/>
      <c r="B202" s="2268"/>
      <c r="C202" s="2268"/>
      <c r="D202" s="2268"/>
      <c r="E202" s="2253"/>
      <c r="F202" s="2253" t="s">
        <v>1907</v>
      </c>
      <c r="G202" s="2269" t="s">
        <v>1908</v>
      </c>
      <c r="H202" s="2253" t="s">
        <v>1833</v>
      </c>
      <c r="I202" s="2253"/>
      <c r="J202" s="2254">
        <v>1.23</v>
      </c>
      <c r="K202" s="2363">
        <f>'TH vat tu XD'!G43</f>
        <v>208957.23684210525</v>
      </c>
      <c r="L202" s="2256"/>
      <c r="M202" s="2255">
        <f>IF(L202=0,J202*K202,J202*K202*L202)</f>
        <v>257017.40131578947</v>
      </c>
      <c r="N202" s="2258">
        <f>IF(L202=0,I194*J202,I194*J202*L202)</f>
        <v>3.1398209999999995</v>
      </c>
      <c r="O202" s="2258"/>
      <c r="P202" s="1952"/>
      <c r="Q202" s="2025"/>
      <c r="R202" s="2025"/>
      <c r="S202" s="2025"/>
    </row>
    <row r="203" spans="1:19" s="474" customFormat="1" ht="15">
      <c r="A203" s="2253"/>
      <c r="B203" s="2268"/>
      <c r="C203" s="2268"/>
      <c r="D203" s="2268"/>
      <c r="E203" s="2253"/>
      <c r="F203" s="2253"/>
      <c r="G203" s="2271" t="s">
        <v>228</v>
      </c>
      <c r="H203" s="2271"/>
      <c r="I203" s="2271"/>
      <c r="J203" s="2274"/>
      <c r="K203" s="2272"/>
      <c r="L203" s="2273"/>
      <c r="M203" s="2272">
        <f>ROUND(SUM(M204:M205),Config!C103)</f>
        <v>9735</v>
      </c>
      <c r="N203" s="2258"/>
      <c r="O203" s="2258"/>
      <c r="P203" s="1952"/>
      <c r="Q203" s="2025"/>
      <c r="R203" s="2025"/>
      <c r="S203" s="2025"/>
    </row>
    <row r="204" spans="1:19" s="474" customFormat="1" ht="15">
      <c r="A204" s="2253"/>
      <c r="B204" s="2268"/>
      <c r="C204" s="2268"/>
      <c r="D204" s="2268"/>
      <c r="E204" s="2253"/>
      <c r="F204" s="2253" t="s">
        <v>1909</v>
      </c>
      <c r="G204" s="2269" t="s">
        <v>1910</v>
      </c>
      <c r="H204" s="2253" t="s">
        <v>1836</v>
      </c>
      <c r="I204" s="2253"/>
      <c r="J204" s="2254">
        <v>9.5000000000000001E-2</v>
      </c>
      <c r="K204" s="2363">
        <f>'TH vat tu XD'!G50</f>
        <v>74264</v>
      </c>
      <c r="L204" s="2256"/>
      <c r="M204" s="2255">
        <f>IF(L204=0,J204*K204,J204*K204*L204)</f>
        <v>7055.08</v>
      </c>
      <c r="N204" s="2258">
        <f>IF(L204=0,I194*J204,I194*J204*L204)</f>
        <v>0.24250649999999999</v>
      </c>
      <c r="O204" s="2258"/>
      <c r="P204" s="1952"/>
      <c r="Q204" s="2025"/>
      <c r="R204" s="2025"/>
      <c r="S204" s="2025"/>
    </row>
    <row r="205" spans="1:19" s="474" customFormat="1" ht="15">
      <c r="A205" s="2253"/>
      <c r="B205" s="2268"/>
      <c r="C205" s="2268"/>
      <c r="D205" s="2268"/>
      <c r="E205" s="2253"/>
      <c r="F205" s="2253" t="s">
        <v>1911</v>
      </c>
      <c r="G205" s="2269" t="s">
        <v>1912</v>
      </c>
      <c r="H205" s="2253" t="s">
        <v>1836</v>
      </c>
      <c r="I205" s="2253"/>
      <c r="J205" s="2254">
        <v>8.8999999999999996E-2</v>
      </c>
      <c r="K205" s="2363">
        <f>'TH vat tu XD'!G47</f>
        <v>30106</v>
      </c>
      <c r="L205" s="2256"/>
      <c r="M205" s="2255">
        <f>IF(L205=0,J205*K205,J205*K205*L205)</f>
        <v>2679.4339999999997</v>
      </c>
      <c r="N205" s="2258">
        <f>IF(L205=0,I194*J205,I194*J205*L205)</f>
        <v>0.22719029999999996</v>
      </c>
      <c r="O205" s="2258"/>
      <c r="P205" s="1952"/>
      <c r="Q205" s="2025"/>
      <c r="R205" s="2025"/>
      <c r="S205" s="2025"/>
    </row>
    <row r="206" spans="1:19" s="474" customFormat="1" ht="15" hidden="1">
      <c r="A206" s="2253"/>
      <c r="B206" s="2268"/>
      <c r="C206" s="2268"/>
      <c r="D206" s="2268"/>
      <c r="E206" s="2253"/>
      <c r="F206" s="2253"/>
      <c r="G206" s="2252" t="s">
        <v>109</v>
      </c>
      <c r="H206" s="2253"/>
      <c r="I206" s="2253"/>
      <c r="J206" s="2253" t="s">
        <v>333</v>
      </c>
      <c r="K206" s="2255"/>
      <c r="L206" s="2256"/>
      <c r="M206" s="2257">
        <f>M195+M201+M203</f>
        <v>1024844</v>
      </c>
      <c r="N206" s="2258"/>
      <c r="O206" s="2258"/>
      <c r="P206" s="1952"/>
      <c r="Q206" s="2025"/>
      <c r="R206" s="2025"/>
      <c r="S206" s="2025"/>
    </row>
    <row r="207" spans="1:19" s="474" customFormat="1" ht="15" hidden="1">
      <c r="A207" s="2253"/>
      <c r="B207" s="2268"/>
      <c r="C207" s="2268"/>
      <c r="D207" s="2268"/>
      <c r="E207" s="2253"/>
      <c r="F207" s="2253"/>
      <c r="G207" s="2252" t="s">
        <v>378</v>
      </c>
      <c r="H207" s="2253"/>
      <c r="I207" s="2253"/>
      <c r="J207" s="2253" t="str">
        <f ca="1">"T*"&amp;'THCP xay dung'!F48*100&amp;"%"</f>
        <v>T*6,2%</v>
      </c>
      <c r="K207" s="2255"/>
      <c r="L207" s="2256"/>
      <c r="M207" s="2257">
        <f ca="1">M206*'THCP xay dung'!F48*100%</f>
        <v>63540.328000000001</v>
      </c>
      <c r="N207" s="2258"/>
      <c r="O207" s="2258"/>
      <c r="P207" s="1952"/>
      <c r="Q207" s="2025"/>
      <c r="R207" s="2025"/>
      <c r="S207" s="2025"/>
    </row>
    <row r="208" spans="1:19" s="474" customFormat="1" ht="28.5" hidden="1">
      <c r="A208" s="2253"/>
      <c r="B208" s="2268"/>
      <c r="C208" s="2268"/>
      <c r="D208" s="2268"/>
      <c r="E208" s="2253"/>
      <c r="F208" s="2253"/>
      <c r="G208" s="2252" t="s">
        <v>702</v>
      </c>
      <c r="H208" s="2253"/>
      <c r="I208" s="2253"/>
      <c r="J208" s="2253" t="str">
        <f>IF('THCP xay dung'!G49&lt;&gt;1,"T*"&amp;'THCP xay dung'!F49*100&amp;"%"&amp;"*"&amp;'THCP xay dung'!G49,"T*"&amp;'THCP xay dung'!F49*100&amp;"%")</f>
        <v>T*1,1%</v>
      </c>
      <c r="K208" s="2255"/>
      <c r="L208" s="2256"/>
      <c r="M208" s="2257">
        <f>IF('THCP xay dung'!G49&lt;&gt;1,M206*'THCP xay dung'!F49*100%*'THCP xay dung'!G49,M206*'THCP xay dung'!F49*100%)</f>
        <v>11273.284000000001</v>
      </c>
      <c r="N208" s="2258"/>
      <c r="O208" s="2258"/>
      <c r="P208" s="1952"/>
      <c r="Q208" s="2025"/>
      <c r="R208" s="2025"/>
      <c r="S208" s="2025"/>
    </row>
    <row r="209" spans="1:19" s="474" customFormat="1" ht="42.75" hidden="1">
      <c r="A209" s="2253"/>
      <c r="B209" s="2268"/>
      <c r="C209" s="2268"/>
      <c r="D209" s="2268"/>
      <c r="E209" s="2253"/>
      <c r="F209" s="2253"/>
      <c r="G209" s="2252" t="s">
        <v>703</v>
      </c>
      <c r="H209" s="2253"/>
      <c r="I209" s="2253"/>
      <c r="J209" s="2253" t="str">
        <f ca="1">"T*"&amp;'THCP xay dung'!F50*100&amp;"%"</f>
        <v>T*2%</v>
      </c>
      <c r="K209" s="2255"/>
      <c r="L209" s="2256"/>
      <c r="M209" s="2257">
        <f ca="1">M206*'THCP xay dung'!F50*100%</f>
        <v>20496.88</v>
      </c>
      <c r="N209" s="2258"/>
      <c r="O209" s="2258"/>
      <c r="P209" s="1952"/>
      <c r="Q209" s="2025"/>
      <c r="R209" s="2025"/>
      <c r="S209" s="2025"/>
    </row>
    <row r="210" spans="1:19" s="474" customFormat="1" ht="15" hidden="1">
      <c r="A210" s="2253"/>
      <c r="B210" s="2268"/>
      <c r="C210" s="2268"/>
      <c r="D210" s="2268"/>
      <c r="E210" s="2253"/>
      <c r="F210" s="2253"/>
      <c r="G210" s="2252" t="s">
        <v>701</v>
      </c>
      <c r="H210" s="2253"/>
      <c r="I210" s="2253"/>
      <c r="J210" s="2253" t="s">
        <v>931</v>
      </c>
      <c r="K210" s="2255"/>
      <c r="L210" s="2256"/>
      <c r="M210" s="2257">
        <f ca="1">M207+M208+M209</f>
        <v>95310.492000000013</v>
      </c>
      <c r="N210" s="2258"/>
      <c r="O210" s="2258"/>
      <c r="P210" s="1952"/>
      <c r="Q210" s="2025"/>
      <c r="R210" s="2025"/>
      <c r="S210" s="2025"/>
    </row>
    <row r="211" spans="1:19" s="474" customFormat="1" ht="15" hidden="1">
      <c r="A211" s="2253"/>
      <c r="B211" s="2268"/>
      <c r="C211" s="2268"/>
      <c r="D211" s="2268"/>
      <c r="E211" s="2253"/>
      <c r="F211" s="2253"/>
      <c r="G211" s="2252" t="s">
        <v>574</v>
      </c>
      <c r="H211" s="2253"/>
      <c r="I211" s="2253"/>
      <c r="J211" s="2253" t="str">
        <f ca="1">"(T+GT)*"&amp;'THCP xay dung'!F52*100&amp;"%"</f>
        <v>(T+GT)*6%</v>
      </c>
      <c r="K211" s="2255"/>
      <c r="L211" s="2256"/>
      <c r="M211" s="2257">
        <f ca="1">(M206+M210)*'THCP xay dung'!F52*100%</f>
        <v>67209.269520000002</v>
      </c>
      <c r="N211" s="2258"/>
      <c r="O211" s="2258"/>
      <c r="P211" s="1952"/>
      <c r="Q211" s="2025"/>
      <c r="R211" s="2025"/>
      <c r="S211" s="2025"/>
    </row>
    <row r="212" spans="1:19" s="474" customFormat="1" ht="15" hidden="1">
      <c r="A212" s="2253"/>
      <c r="B212" s="2268"/>
      <c r="C212" s="2268"/>
      <c r="D212" s="2268"/>
      <c r="E212" s="2253"/>
      <c r="F212" s="2253"/>
      <c r="G212" s="2252" t="s">
        <v>113</v>
      </c>
      <c r="H212" s="2253"/>
      <c r="I212" s="2253"/>
      <c r="J212" s="2253" t="s">
        <v>705</v>
      </c>
      <c r="K212" s="2255"/>
      <c r="L212" s="2256"/>
      <c r="M212" s="2257">
        <f ca="1">M206+M210+M211</f>
        <v>1187363.7615200002</v>
      </c>
      <c r="N212" s="2258"/>
      <c r="O212" s="2258"/>
      <c r="P212" s="1952"/>
      <c r="Q212" s="2025"/>
      <c r="R212" s="2025"/>
      <c r="S212" s="2025"/>
    </row>
    <row r="213" spans="1:19" s="474" customFormat="1" ht="15" hidden="1">
      <c r="A213" s="2253"/>
      <c r="B213" s="2268"/>
      <c r="C213" s="2268"/>
      <c r="D213" s="2268"/>
      <c r="E213" s="2253"/>
      <c r="F213" s="2253"/>
      <c r="G213" s="2252" t="s">
        <v>575</v>
      </c>
      <c r="H213" s="2253"/>
      <c r="I213" s="2253"/>
      <c r="J213" s="2253" t="str">
        <f>"G*"&amp;'THCP xay dung'!F54*100&amp;"%"</f>
        <v>G*10%</v>
      </c>
      <c r="K213" s="2255"/>
      <c r="L213" s="2256"/>
      <c r="M213" s="2257">
        <f ca="1">M212*'THCP xay dung'!F54*100%</f>
        <v>118736.37615200003</v>
      </c>
      <c r="N213" s="2258"/>
      <c r="O213" s="2258"/>
      <c r="P213" s="1952"/>
      <c r="Q213" s="2025"/>
      <c r="R213" s="2025"/>
      <c r="S213" s="2025"/>
    </row>
    <row r="214" spans="1:19" s="474" customFormat="1" ht="15" hidden="1">
      <c r="A214" s="2253"/>
      <c r="B214" s="2268"/>
      <c r="C214" s="2268"/>
      <c r="D214" s="2268"/>
      <c r="E214" s="2253"/>
      <c r="F214" s="2253"/>
      <c r="G214" s="2252" t="s">
        <v>117</v>
      </c>
      <c r="H214" s="2253"/>
      <c r="I214" s="2253"/>
      <c r="J214" s="2253" t="s">
        <v>596</v>
      </c>
      <c r="K214" s="2255"/>
      <c r="L214" s="2256"/>
      <c r="M214" s="2257">
        <f ca="1">M212+M213</f>
        <v>1306100.1376720001</v>
      </c>
      <c r="N214" s="2258"/>
      <c r="O214" s="2258"/>
      <c r="P214" s="1952"/>
      <c r="Q214" s="2025"/>
      <c r="R214" s="2025"/>
      <c r="S214" s="2025"/>
    </row>
    <row r="215" spans="1:19" s="474" customFormat="1" ht="15" hidden="1">
      <c r="A215" s="2253"/>
      <c r="B215" s="2268"/>
      <c r="C215" s="2268"/>
      <c r="D215" s="2268"/>
      <c r="E215" s="2253"/>
      <c r="F215" s="2253"/>
      <c r="G215" s="2252" t="s">
        <v>168</v>
      </c>
      <c r="H215" s="2253"/>
      <c r="I215" s="2253"/>
      <c r="J215" s="2253" t="str">
        <f ca="1">"GXD*"&amp;'THCP xay dung'!F56*100&amp;"%"</f>
        <v>GXD*6%</v>
      </c>
      <c r="K215" s="2255"/>
      <c r="L215" s="2256"/>
      <c r="M215" s="2257">
        <f ca="1">M214*'THCP xay dung'!F56*100%</f>
        <v>78366.008260319999</v>
      </c>
      <c r="N215" s="2258"/>
      <c r="O215" s="2258"/>
      <c r="P215" s="1952"/>
      <c r="Q215" s="2025"/>
      <c r="R215" s="2025"/>
      <c r="S215" s="2025"/>
    </row>
    <row r="216" spans="1:19" s="474" customFormat="1" ht="15" hidden="1">
      <c r="A216" s="2259" t="s">
        <v>304</v>
      </c>
      <c r="B216" s="2260"/>
      <c r="C216" s="2260"/>
      <c r="D216" s="2260"/>
      <c r="E216" s="2259"/>
      <c r="F216" s="2259"/>
      <c r="G216" s="2261" t="s">
        <v>1837</v>
      </c>
      <c r="H216" s="2262"/>
      <c r="I216" s="2262"/>
      <c r="J216" s="2262" t="s">
        <v>1636</v>
      </c>
      <c r="K216" s="2263"/>
      <c r="L216" s="2264"/>
      <c r="M216" s="2265">
        <f ca="1">M214+M215</f>
        <v>1384466.14593232</v>
      </c>
      <c r="N216" s="2064"/>
      <c r="O216" s="2064"/>
      <c r="P216" s="1952"/>
      <c r="Q216" s="2025"/>
      <c r="R216" s="2025"/>
      <c r="S216" s="2025"/>
    </row>
    <row r="217" spans="1:19" s="474" customFormat="1" ht="60">
      <c r="A217" s="2282">
        <v>72</v>
      </c>
      <c r="B217" s="2283">
        <f>'Du toan XD'!B99</f>
        <v>7</v>
      </c>
      <c r="C217" s="2283" t="s">
        <v>1913</v>
      </c>
      <c r="D217" s="2283" t="s">
        <v>1914</v>
      </c>
      <c r="E217" s="2284" t="s">
        <v>1547</v>
      </c>
      <c r="F217" s="2284"/>
      <c r="G217" s="2309" t="str">
        <f>'Du toan XD'!F99</f>
        <v>Bê tông đá dăm sản xuất bằng máy trộn, đổ bằng thủ công, bê tông nền đá 1x2, vữa bê tông XM PCB40 mác 150</v>
      </c>
      <c r="H217" s="2284" t="str">
        <f>'Du toan XD'!G99</f>
        <v>m³</v>
      </c>
      <c r="I217" s="2284">
        <f>'Du toan XD'!H99</f>
        <v>7.6438000000000006</v>
      </c>
      <c r="J217" s="2285"/>
      <c r="K217" s="2286"/>
      <c r="L217" s="2287"/>
      <c r="M217" s="2286"/>
      <c r="N217" s="2288"/>
      <c r="O217" s="2289"/>
      <c r="P217" s="1952">
        <f>M218</f>
        <v>705775</v>
      </c>
      <c r="Q217" s="2025"/>
      <c r="R217" s="2025">
        <f>M224</f>
        <v>248659</v>
      </c>
      <c r="S217" s="2025">
        <f>M226</f>
        <v>9381</v>
      </c>
    </row>
    <row r="218" spans="1:19" s="474" customFormat="1" ht="15">
      <c r="A218" s="2290"/>
      <c r="B218" s="2291"/>
      <c r="C218" s="2291"/>
      <c r="D218" s="2291"/>
      <c r="E218" s="2292"/>
      <c r="F218" s="2292"/>
      <c r="G218" s="2311" t="s">
        <v>224</v>
      </c>
      <c r="H218" s="2311"/>
      <c r="I218" s="2311"/>
      <c r="J218" s="2314"/>
      <c r="K218" s="2312"/>
      <c r="L218" s="2313"/>
      <c r="M218" s="2312">
        <f>ROUND(SUM(M219:M223),Config!C103)</f>
        <v>705775</v>
      </c>
      <c r="N218" s="2298"/>
      <c r="O218" s="2299"/>
      <c r="P218" s="1952"/>
      <c r="Q218" s="2025"/>
      <c r="R218" s="2025"/>
      <c r="S218" s="2025"/>
    </row>
    <row r="219" spans="1:19" s="474" customFormat="1" ht="15">
      <c r="A219" s="2290"/>
      <c r="B219" s="2291"/>
      <c r="C219" s="2291" t="s">
        <v>1913</v>
      </c>
      <c r="D219" s="2291"/>
      <c r="E219" s="2292"/>
      <c r="F219" s="2292" t="s">
        <v>1901</v>
      </c>
      <c r="G219" s="2310" t="s">
        <v>1902</v>
      </c>
      <c r="H219" s="2292" t="s">
        <v>1856</v>
      </c>
      <c r="I219" s="2292"/>
      <c r="J219" s="2294">
        <f>217*1.025</f>
        <v>222.42499999999998</v>
      </c>
      <c r="K219" s="2364">
        <f>'TH vat tu XD'!G39</f>
        <v>1380</v>
      </c>
      <c r="L219" s="2296"/>
      <c r="M219" s="2295">
        <f>IF(L219=0,J219*K219,J219*K219*L219)</f>
        <v>306946.5</v>
      </c>
      <c r="N219" s="2298">
        <f>IF(L219=0,I217*J219,I217*J219*L219)</f>
        <v>1700.1722150000001</v>
      </c>
      <c r="O219" s="2299">
        <f>J223%*N219</f>
        <v>17.001722149999999</v>
      </c>
      <c r="P219" s="1952"/>
      <c r="Q219" s="2025"/>
      <c r="R219" s="2025"/>
      <c r="S219" s="2025"/>
    </row>
    <row r="220" spans="1:19" s="474" customFormat="1" ht="15">
      <c r="A220" s="2290"/>
      <c r="B220" s="2291"/>
      <c r="C220" s="2291" t="s">
        <v>1913</v>
      </c>
      <c r="D220" s="2291"/>
      <c r="E220" s="2292"/>
      <c r="F220" s="2292" t="s">
        <v>1903</v>
      </c>
      <c r="G220" s="2310" t="s">
        <v>1904</v>
      </c>
      <c r="H220" s="2292" t="s">
        <v>1848</v>
      </c>
      <c r="I220" s="2292"/>
      <c r="J220" s="2294">
        <f>0.539*1.025</f>
        <v>0.55247499999999994</v>
      </c>
      <c r="K220" s="2364">
        <f>'TH vat tu XD'!G25</f>
        <v>435000</v>
      </c>
      <c r="L220" s="2296"/>
      <c r="M220" s="2295">
        <f>IF(L220=0,J220*K220,J220*K220*L220)</f>
        <v>240326.62499999997</v>
      </c>
      <c r="N220" s="2298">
        <f>IF(L220=0,I217*J220,I217*J220*L220)</f>
        <v>4.2230084049999999</v>
      </c>
      <c r="O220" s="2299">
        <f>J223%*N220</f>
        <v>4.2230084049999998E-2</v>
      </c>
      <c r="P220" s="1952"/>
      <c r="Q220" s="2025"/>
      <c r="R220" s="2025"/>
      <c r="S220" s="2025"/>
    </row>
    <row r="221" spans="1:19" s="474" customFormat="1" ht="15">
      <c r="A221" s="2290"/>
      <c r="B221" s="2291"/>
      <c r="C221" s="2291" t="s">
        <v>1913</v>
      </c>
      <c r="D221" s="2291"/>
      <c r="E221" s="2292"/>
      <c r="F221" s="2292" t="s">
        <v>1905</v>
      </c>
      <c r="G221" s="2310" t="s">
        <v>1906</v>
      </c>
      <c r="H221" s="2292" t="s">
        <v>1848</v>
      </c>
      <c r="I221" s="2292"/>
      <c r="J221" s="2294">
        <f>0.887*1.025</f>
        <v>0.90917499999999996</v>
      </c>
      <c r="K221" s="2364">
        <f>'TH vat tu XD'!G26</f>
        <v>165000</v>
      </c>
      <c r="L221" s="2296"/>
      <c r="M221" s="2295">
        <f>IF(L221=0,J221*K221,J221*K221*L221)</f>
        <v>150013.875</v>
      </c>
      <c r="N221" s="2298">
        <f>IF(L221=0,I217*J221,I217*J221*L221)</f>
        <v>6.9495518650000001</v>
      </c>
      <c r="O221" s="2299">
        <f>J223%*N221</f>
        <v>6.9495518650000004E-2</v>
      </c>
      <c r="P221" s="1952"/>
      <c r="Q221" s="2025"/>
      <c r="R221" s="2025"/>
      <c r="S221" s="2025"/>
    </row>
    <row r="222" spans="1:19" s="474" customFormat="1" ht="15">
      <c r="A222" s="2290"/>
      <c r="B222" s="2291"/>
      <c r="C222" s="2291" t="s">
        <v>1913</v>
      </c>
      <c r="D222" s="2291"/>
      <c r="E222" s="2292"/>
      <c r="F222" s="2292" t="s">
        <v>1859</v>
      </c>
      <c r="G222" s="2310" t="s">
        <v>1860</v>
      </c>
      <c r="H222" s="2292" t="s">
        <v>1861</v>
      </c>
      <c r="I222" s="2292"/>
      <c r="J222" s="2294">
        <f>183*1.025</f>
        <v>187.57499999999999</v>
      </c>
      <c r="K222" s="2364">
        <f>'TH vat tu XD'!G34</f>
        <v>8</v>
      </c>
      <c r="L222" s="2296"/>
      <c r="M222" s="2295">
        <f>IF(L222=0,J222*K222,J222*K222*L222)</f>
        <v>1500.6</v>
      </c>
      <c r="N222" s="2298">
        <f>IF(L222=0,I217*J222,I217*J222*L222)</f>
        <v>1433.785785</v>
      </c>
      <c r="O222" s="2299">
        <f>J223%*N222</f>
        <v>14.337857850000001</v>
      </c>
      <c r="P222" s="1952"/>
      <c r="Q222" s="2025"/>
      <c r="R222" s="2025"/>
      <c r="S222" s="2025"/>
    </row>
    <row r="223" spans="1:19" s="474" customFormat="1" ht="15">
      <c r="A223" s="2290"/>
      <c r="B223" s="2291"/>
      <c r="C223" s="2291"/>
      <c r="D223" s="2291"/>
      <c r="E223" s="2292"/>
      <c r="F223" s="2292" t="s">
        <v>1882</v>
      </c>
      <c r="G223" s="2310" t="s">
        <v>226</v>
      </c>
      <c r="H223" s="2292" t="s">
        <v>1850</v>
      </c>
      <c r="I223" s="2292"/>
      <c r="J223" s="2294">
        <v>1</v>
      </c>
      <c r="K223" s="2295"/>
      <c r="L223" s="2296"/>
      <c r="M223" s="2295">
        <f>SUM(M219:M222)*J223%</f>
        <v>6987.8760000000002</v>
      </c>
      <c r="N223" s="2298"/>
      <c r="O223" s="2299"/>
      <c r="P223" s="1952"/>
      <c r="Q223" s="2025"/>
      <c r="R223" s="2025"/>
      <c r="S223" s="2025"/>
    </row>
    <row r="224" spans="1:19" s="474" customFormat="1" ht="15">
      <c r="A224" s="2290"/>
      <c r="B224" s="2291"/>
      <c r="C224" s="2291"/>
      <c r="D224" s="2291"/>
      <c r="E224" s="2292"/>
      <c r="F224" s="2292"/>
      <c r="G224" s="2311" t="s">
        <v>225</v>
      </c>
      <c r="H224" s="2311"/>
      <c r="I224" s="2311"/>
      <c r="J224" s="2314"/>
      <c r="K224" s="2312"/>
      <c r="L224" s="2313"/>
      <c r="M224" s="2312">
        <f>ROUND(SUM(M225:M225),Config!C103)</f>
        <v>248659</v>
      </c>
      <c r="N224" s="2298"/>
      <c r="O224" s="2299"/>
      <c r="P224" s="1952"/>
      <c r="Q224" s="2025"/>
      <c r="R224" s="2025"/>
      <c r="S224" s="2025"/>
    </row>
    <row r="225" spans="1:19" s="474" customFormat="1" ht="15">
      <c r="A225" s="2290"/>
      <c r="B225" s="2291"/>
      <c r="C225" s="2291"/>
      <c r="D225" s="2291"/>
      <c r="E225" s="2292"/>
      <c r="F225" s="2292" t="s">
        <v>1907</v>
      </c>
      <c r="G225" s="2310" t="s">
        <v>1908</v>
      </c>
      <c r="H225" s="2292" t="s">
        <v>1833</v>
      </c>
      <c r="I225" s="2292"/>
      <c r="J225" s="2294">
        <v>1.19</v>
      </c>
      <c r="K225" s="2364">
        <f>'TH vat tu XD'!G43</f>
        <v>208957.23684210525</v>
      </c>
      <c r="L225" s="2296"/>
      <c r="M225" s="2295">
        <f>IF(L225=0,J225*K225,J225*K225*L225)</f>
        <v>248659.11184210525</v>
      </c>
      <c r="N225" s="2298">
        <f>IF(L225=0,I217*J225,I217*J225*L225)</f>
        <v>9.0961220000000012</v>
      </c>
      <c r="O225" s="2299"/>
      <c r="P225" s="1952"/>
      <c r="Q225" s="2025"/>
      <c r="R225" s="2025"/>
      <c r="S225" s="2025"/>
    </row>
    <row r="226" spans="1:19" s="474" customFormat="1" ht="15">
      <c r="A226" s="2290"/>
      <c r="B226" s="2291"/>
      <c r="C226" s="2291"/>
      <c r="D226" s="2291"/>
      <c r="E226" s="2292"/>
      <c r="F226" s="2292"/>
      <c r="G226" s="2311" t="s">
        <v>228</v>
      </c>
      <c r="H226" s="2311"/>
      <c r="I226" s="2311"/>
      <c r="J226" s="2314"/>
      <c r="K226" s="2312"/>
      <c r="L226" s="2313"/>
      <c r="M226" s="2312">
        <f>ROUND(SUM(M227:M228),Config!C103)</f>
        <v>9381</v>
      </c>
      <c r="N226" s="2298"/>
      <c r="O226" s="2299"/>
      <c r="P226" s="1952"/>
      <c r="Q226" s="2025"/>
      <c r="R226" s="2025"/>
      <c r="S226" s="2025"/>
    </row>
    <row r="227" spans="1:19" s="474" customFormat="1" ht="15">
      <c r="A227" s="2290"/>
      <c r="B227" s="2291"/>
      <c r="C227" s="2291"/>
      <c r="D227" s="2291"/>
      <c r="E227" s="2292"/>
      <c r="F227" s="2292" t="s">
        <v>1909</v>
      </c>
      <c r="G227" s="2310" t="s">
        <v>1910</v>
      </c>
      <c r="H227" s="2292" t="s">
        <v>1836</v>
      </c>
      <c r="I227" s="2292"/>
      <c r="J227" s="2294">
        <v>9.5000000000000001E-2</v>
      </c>
      <c r="K227" s="2364">
        <f>'TH vat tu XD'!G50</f>
        <v>74264</v>
      </c>
      <c r="L227" s="2296"/>
      <c r="M227" s="2295">
        <f>IF(L227=0,J227*K227,J227*K227*L227)</f>
        <v>7055.08</v>
      </c>
      <c r="N227" s="2298">
        <f>IF(L227=0,I217*J227,I217*J227*L227)</f>
        <v>0.72616100000000006</v>
      </c>
      <c r="O227" s="2299"/>
      <c r="P227" s="1952"/>
      <c r="Q227" s="2025"/>
      <c r="R227" s="2025"/>
      <c r="S227" s="2025"/>
    </row>
    <row r="228" spans="1:19" s="474" customFormat="1" ht="15">
      <c r="A228" s="2290"/>
      <c r="B228" s="2291"/>
      <c r="C228" s="2291"/>
      <c r="D228" s="2291"/>
      <c r="E228" s="2292"/>
      <c r="F228" s="2292" t="s">
        <v>1916</v>
      </c>
      <c r="G228" s="2310" t="s">
        <v>1917</v>
      </c>
      <c r="H228" s="2292" t="s">
        <v>1836</v>
      </c>
      <c r="I228" s="2292"/>
      <c r="J228" s="2294">
        <v>8.8999999999999996E-2</v>
      </c>
      <c r="K228" s="2364">
        <f>'TH vat tu XD'!G46</f>
        <v>26132</v>
      </c>
      <c r="L228" s="2296"/>
      <c r="M228" s="2295">
        <f>IF(L228=0,J228*K228,J228*K228*L228)</f>
        <v>2325.748</v>
      </c>
      <c r="N228" s="2298">
        <f>IF(L228=0,I217*J228,I217*J228*L228)</f>
        <v>0.68029820000000008</v>
      </c>
      <c r="O228" s="2299"/>
      <c r="P228" s="1952"/>
      <c r="Q228" s="2025"/>
      <c r="R228" s="2025"/>
      <c r="S228" s="2025"/>
    </row>
    <row r="229" spans="1:19" s="474" customFormat="1" ht="15" hidden="1">
      <c r="A229" s="2290"/>
      <c r="B229" s="2291"/>
      <c r="C229" s="2291"/>
      <c r="D229" s="2291"/>
      <c r="E229" s="2292"/>
      <c r="F229" s="2292"/>
      <c r="G229" s="2293" t="s">
        <v>109</v>
      </c>
      <c r="H229" s="2292"/>
      <c r="I229" s="2292"/>
      <c r="J229" s="2292" t="s">
        <v>333</v>
      </c>
      <c r="K229" s="2295"/>
      <c r="L229" s="2296"/>
      <c r="M229" s="2297">
        <f>M218+M224+M226</f>
        <v>963815</v>
      </c>
      <c r="N229" s="2298"/>
      <c r="O229" s="2299"/>
      <c r="P229" s="1952"/>
      <c r="Q229" s="2025"/>
      <c r="R229" s="2025"/>
      <c r="S229" s="2025"/>
    </row>
    <row r="230" spans="1:19" s="474" customFormat="1" ht="15" hidden="1">
      <c r="A230" s="2290"/>
      <c r="B230" s="2291"/>
      <c r="C230" s="2291"/>
      <c r="D230" s="2291"/>
      <c r="E230" s="2292"/>
      <c r="F230" s="2292"/>
      <c r="G230" s="2293" t="s">
        <v>378</v>
      </c>
      <c r="H230" s="2292"/>
      <c r="I230" s="2292"/>
      <c r="J230" s="2292" t="str">
        <f ca="1">"T*"&amp;'THCP xay dung'!F48*100&amp;"%"</f>
        <v>T*6,2%</v>
      </c>
      <c r="K230" s="2295"/>
      <c r="L230" s="2296"/>
      <c r="M230" s="2297">
        <f ca="1">M229*'THCP xay dung'!F48*100%</f>
        <v>59756.53</v>
      </c>
      <c r="N230" s="2298"/>
      <c r="O230" s="2299"/>
      <c r="P230" s="1952"/>
      <c r="Q230" s="2025"/>
      <c r="R230" s="2025"/>
      <c r="S230" s="2025"/>
    </row>
    <row r="231" spans="1:19" s="474" customFormat="1" ht="28.5" hidden="1">
      <c r="A231" s="2290"/>
      <c r="B231" s="2291"/>
      <c r="C231" s="2291"/>
      <c r="D231" s="2291"/>
      <c r="E231" s="2292"/>
      <c r="F231" s="2292"/>
      <c r="G231" s="2293" t="s">
        <v>702</v>
      </c>
      <c r="H231" s="2292"/>
      <c r="I231" s="2292"/>
      <c r="J231" s="2292" t="str">
        <f>IF('THCP xay dung'!G49&lt;&gt;1,"T*"&amp;'THCP xay dung'!F49*100&amp;"%"&amp;"*"&amp;'THCP xay dung'!G49,"T*"&amp;'THCP xay dung'!F49*100&amp;"%")</f>
        <v>T*1,1%</v>
      </c>
      <c r="K231" s="2295"/>
      <c r="L231" s="2296"/>
      <c r="M231" s="2297">
        <f>IF('THCP xay dung'!G49&lt;&gt;1,M229*'THCP xay dung'!F49*100%*'THCP xay dung'!G49,M229*'THCP xay dung'!F49*100%)</f>
        <v>10601.965000000002</v>
      </c>
      <c r="N231" s="2298"/>
      <c r="O231" s="2299"/>
      <c r="P231" s="1952"/>
      <c r="Q231" s="2025"/>
      <c r="R231" s="2025"/>
      <c r="S231" s="2025"/>
    </row>
    <row r="232" spans="1:19" s="474" customFormat="1" ht="42.75" hidden="1">
      <c r="A232" s="2290"/>
      <c r="B232" s="2291"/>
      <c r="C232" s="2291"/>
      <c r="D232" s="2291"/>
      <c r="E232" s="2292"/>
      <c r="F232" s="2292"/>
      <c r="G232" s="2293" t="s">
        <v>703</v>
      </c>
      <c r="H232" s="2292"/>
      <c r="I232" s="2292"/>
      <c r="J232" s="2292" t="str">
        <f ca="1">"T*"&amp;'THCP xay dung'!F50*100&amp;"%"</f>
        <v>T*2%</v>
      </c>
      <c r="K232" s="2295"/>
      <c r="L232" s="2296"/>
      <c r="M232" s="2297">
        <f ca="1">M229*'THCP xay dung'!F50*100%</f>
        <v>19276.3</v>
      </c>
      <c r="N232" s="2298"/>
      <c r="O232" s="2299"/>
      <c r="P232" s="1952"/>
      <c r="Q232" s="2025"/>
      <c r="R232" s="2025"/>
      <c r="S232" s="2025"/>
    </row>
    <row r="233" spans="1:19" s="474" customFormat="1" ht="15" hidden="1">
      <c r="A233" s="2290"/>
      <c r="B233" s="2291"/>
      <c r="C233" s="2291"/>
      <c r="D233" s="2291"/>
      <c r="E233" s="2292"/>
      <c r="F233" s="2292"/>
      <c r="G233" s="2293" t="s">
        <v>701</v>
      </c>
      <c r="H233" s="2292"/>
      <c r="I233" s="2292"/>
      <c r="J233" s="2292" t="s">
        <v>931</v>
      </c>
      <c r="K233" s="2295"/>
      <c r="L233" s="2296"/>
      <c r="M233" s="2297">
        <f ca="1">M230+M231+M232</f>
        <v>89634.794999999998</v>
      </c>
      <c r="N233" s="2298"/>
      <c r="O233" s="2299"/>
      <c r="P233" s="1952"/>
      <c r="Q233" s="2025"/>
      <c r="R233" s="2025"/>
      <c r="S233" s="2025"/>
    </row>
    <row r="234" spans="1:19" s="474" customFormat="1" ht="15" hidden="1">
      <c r="A234" s="2290"/>
      <c r="B234" s="2291"/>
      <c r="C234" s="2291"/>
      <c r="D234" s="2291"/>
      <c r="E234" s="2292"/>
      <c r="F234" s="2292"/>
      <c r="G234" s="2293" t="s">
        <v>574</v>
      </c>
      <c r="H234" s="2292"/>
      <c r="I234" s="2292"/>
      <c r="J234" s="2292" t="str">
        <f ca="1">"(T+GT)*"&amp;'THCP xay dung'!F52*100&amp;"%"</f>
        <v>(T+GT)*6%</v>
      </c>
      <c r="K234" s="2295"/>
      <c r="L234" s="2296"/>
      <c r="M234" s="2297">
        <f ca="1">(M229+M233)*'THCP xay dung'!F52*100%</f>
        <v>63206.987699999991</v>
      </c>
      <c r="N234" s="2298"/>
      <c r="O234" s="2299"/>
      <c r="P234" s="1952"/>
      <c r="Q234" s="2025"/>
      <c r="R234" s="2025"/>
      <c r="S234" s="2025"/>
    </row>
    <row r="235" spans="1:19" s="474" customFormat="1" ht="15" hidden="1">
      <c r="A235" s="2290"/>
      <c r="B235" s="2291"/>
      <c r="C235" s="2291"/>
      <c r="D235" s="2291"/>
      <c r="E235" s="2292"/>
      <c r="F235" s="2292"/>
      <c r="G235" s="2293" t="s">
        <v>113</v>
      </c>
      <c r="H235" s="2292"/>
      <c r="I235" s="2292"/>
      <c r="J235" s="2292" t="s">
        <v>705</v>
      </c>
      <c r="K235" s="2295"/>
      <c r="L235" s="2296"/>
      <c r="M235" s="2297">
        <f ca="1">M229+M233+M234</f>
        <v>1116656.7826999999</v>
      </c>
      <c r="N235" s="2298"/>
      <c r="O235" s="2299"/>
      <c r="P235" s="1952"/>
      <c r="Q235" s="2025"/>
      <c r="R235" s="2025"/>
      <c r="S235" s="2025"/>
    </row>
    <row r="236" spans="1:19" s="474" customFormat="1" ht="15" hidden="1">
      <c r="A236" s="2290"/>
      <c r="B236" s="2291"/>
      <c r="C236" s="2291"/>
      <c r="D236" s="2291"/>
      <c r="E236" s="2292"/>
      <c r="F236" s="2292"/>
      <c r="G236" s="2293" t="s">
        <v>575</v>
      </c>
      <c r="H236" s="2292"/>
      <c r="I236" s="2292"/>
      <c r="J236" s="2292" t="str">
        <f>"G*"&amp;'THCP xay dung'!F54*100&amp;"%"</f>
        <v>G*10%</v>
      </c>
      <c r="K236" s="2295"/>
      <c r="L236" s="2296"/>
      <c r="M236" s="2297">
        <f ca="1">M235*'THCP xay dung'!F54*100%</f>
        <v>111665.67826999999</v>
      </c>
      <c r="N236" s="2298"/>
      <c r="O236" s="2299"/>
      <c r="P236" s="1952"/>
      <c r="Q236" s="2025"/>
      <c r="R236" s="2025"/>
      <c r="S236" s="2025"/>
    </row>
    <row r="237" spans="1:19" s="474" customFormat="1" ht="15" hidden="1">
      <c r="A237" s="2290"/>
      <c r="B237" s="2291"/>
      <c r="C237" s="2291"/>
      <c r="D237" s="2291"/>
      <c r="E237" s="2292"/>
      <c r="F237" s="2292"/>
      <c r="G237" s="2293" t="s">
        <v>117</v>
      </c>
      <c r="H237" s="2292"/>
      <c r="I237" s="2292"/>
      <c r="J237" s="2292" t="s">
        <v>596</v>
      </c>
      <c r="K237" s="2295"/>
      <c r="L237" s="2296"/>
      <c r="M237" s="2297">
        <f ca="1">M235+M236</f>
        <v>1228322.4609699999</v>
      </c>
      <c r="N237" s="2298"/>
      <c r="O237" s="2299"/>
      <c r="P237" s="1952"/>
      <c r="Q237" s="2025"/>
      <c r="R237" s="2025"/>
      <c r="S237" s="2025"/>
    </row>
    <row r="238" spans="1:19" s="474" customFormat="1" ht="15" hidden="1">
      <c r="A238" s="2290"/>
      <c r="B238" s="2291"/>
      <c r="C238" s="2291"/>
      <c r="D238" s="2291"/>
      <c r="E238" s="2292"/>
      <c r="F238" s="2292"/>
      <c r="G238" s="2293" t="s">
        <v>168</v>
      </c>
      <c r="H238" s="2292"/>
      <c r="I238" s="2292"/>
      <c r="J238" s="2292" t="str">
        <f ca="1">"GXD*"&amp;'THCP xay dung'!F56*100&amp;"%"</f>
        <v>GXD*6%</v>
      </c>
      <c r="K238" s="2295"/>
      <c r="L238" s="2296"/>
      <c r="M238" s="2297">
        <f ca="1">M237*'THCP xay dung'!F56*100%</f>
        <v>73699.347658199986</v>
      </c>
      <c r="N238" s="2298"/>
      <c r="O238" s="2299"/>
      <c r="P238" s="1952"/>
      <c r="Q238" s="2025"/>
      <c r="R238" s="2025"/>
      <c r="S238" s="2025"/>
    </row>
    <row r="239" spans="1:19" s="474" customFormat="1" ht="15" hidden="1">
      <c r="A239" s="2300" t="s">
        <v>304</v>
      </c>
      <c r="B239" s="2301"/>
      <c r="C239" s="2301"/>
      <c r="D239" s="2301"/>
      <c r="E239" s="2302"/>
      <c r="F239" s="2302"/>
      <c r="G239" s="2303" t="s">
        <v>1837</v>
      </c>
      <c r="H239" s="2302"/>
      <c r="I239" s="2302"/>
      <c r="J239" s="2302" t="s">
        <v>1636</v>
      </c>
      <c r="K239" s="2304"/>
      <c r="L239" s="2305"/>
      <c r="M239" s="2306">
        <f ca="1">M237+M238</f>
        <v>1302021.8086281999</v>
      </c>
      <c r="N239" s="2307"/>
      <c r="O239" s="2308"/>
      <c r="P239" s="1952"/>
      <c r="Q239" s="2025"/>
      <c r="R239" s="2025"/>
      <c r="S239" s="2025"/>
    </row>
    <row r="240" spans="1:19" s="474" customFormat="1" ht="15">
      <c r="A240" s="2136" t="str">
        <f>'Du toan XD'!A104</f>
        <v>HM3</v>
      </c>
      <c r="B240" s="2137" t="str">
        <f>'Du toan XD'!E104</f>
        <v>HM</v>
      </c>
      <c r="C240" s="2137"/>
      <c r="D240" s="2137"/>
      <c r="E240" s="2138"/>
      <c r="F240" s="2138"/>
      <c r="G240" s="2138" t="str">
        <f>'Du toan XD'!F104</f>
        <v>PHẦN THÂN</v>
      </c>
      <c r="H240" s="2139"/>
      <c r="I240" s="2139"/>
      <c r="J240" s="1953"/>
      <c r="K240" s="1954"/>
      <c r="L240" s="1953"/>
      <c r="M240" s="1955"/>
      <c r="N240" s="2025"/>
      <c r="O240" s="2025"/>
      <c r="P240" s="2025"/>
      <c r="Q240" s="2025"/>
      <c r="R240" s="2025"/>
      <c r="S240" s="2025"/>
    </row>
    <row r="241" spans="1:19" s="474" customFormat="1" ht="45">
      <c r="A241" s="2042">
        <v>73</v>
      </c>
      <c r="B241" s="2043">
        <f>'Du toan XD'!B106</f>
        <v>1</v>
      </c>
      <c r="C241" s="2043"/>
      <c r="D241" s="2043" t="s">
        <v>1548</v>
      </c>
      <c r="E241" s="2044" t="s">
        <v>1548</v>
      </c>
      <c r="F241" s="2044"/>
      <c r="G241" s="2045" t="str">
        <f>'Du toan XD'!F106</f>
        <v>Gia công, lắp dựng tháo dỡ ván khuôn cho bê tông đổ tại chỗ, ván khuôn gỗ xà dầm, giằng</v>
      </c>
      <c r="H241" s="2044" t="str">
        <f>'Du toan XD'!G106</f>
        <v>100m²</v>
      </c>
      <c r="I241" s="2044">
        <f>'Du toan XD'!H106</f>
        <v>0.50970000000000004</v>
      </c>
      <c r="J241" s="2046"/>
      <c r="K241" s="2047"/>
      <c r="L241" s="2046"/>
      <c r="M241" s="2047"/>
      <c r="N241" s="2048"/>
      <c r="O241" s="2049"/>
      <c r="P241" s="1952">
        <f>M242</f>
        <v>6362798</v>
      </c>
      <c r="Q241" s="2025"/>
      <c r="R241" s="2025">
        <f>M248</f>
        <v>6283750</v>
      </c>
      <c r="S241" s="2025"/>
    </row>
    <row r="242" spans="1:19" s="474" customFormat="1" ht="15">
      <c r="A242" s="2050"/>
      <c r="B242" s="2051"/>
      <c r="C242" s="2051"/>
      <c r="D242" s="2051"/>
      <c r="E242" s="2052"/>
      <c r="F242" s="2052"/>
      <c r="G242" s="2067" t="s">
        <v>224</v>
      </c>
      <c r="H242" s="2067"/>
      <c r="I242" s="2067"/>
      <c r="J242" s="2071"/>
      <c r="K242" s="2069"/>
      <c r="L242" s="2070"/>
      <c r="M242" s="2069">
        <f>ROUND(SUM(M243:M247),Config!C103)</f>
        <v>6362798</v>
      </c>
      <c r="N242" s="2056"/>
      <c r="O242" s="2057"/>
      <c r="P242" s="1952"/>
      <c r="Q242" s="2025"/>
      <c r="R242" s="2025"/>
      <c r="S242" s="2025"/>
    </row>
    <row r="243" spans="1:19" s="474" customFormat="1" ht="15">
      <c r="A243" s="2050"/>
      <c r="B243" s="2051"/>
      <c r="C243" s="2051"/>
      <c r="D243" s="2051"/>
      <c r="E243" s="2052"/>
      <c r="F243" s="2052" t="s">
        <v>1874</v>
      </c>
      <c r="G243" s="2053" t="s">
        <v>1875</v>
      </c>
      <c r="H243" s="2052" t="s">
        <v>1848</v>
      </c>
      <c r="I243" s="2052"/>
      <c r="J243" s="2054">
        <v>0.79400000000000004</v>
      </c>
      <c r="K243" s="2170">
        <f>'TH vat tu XD'!G65</f>
        <v>3100000</v>
      </c>
      <c r="L243" s="2054"/>
      <c r="M243" s="2055">
        <f>IF(L243=0,J243*K243,J243*K243*L243)</f>
        <v>2461400</v>
      </c>
      <c r="N243" s="2056">
        <f>IF(L243=0,I241*J243,I241*J243*L243)</f>
        <v>0.40470180000000006</v>
      </c>
      <c r="O243" s="2057">
        <f>J247%*N243</f>
        <v>4.0470180000000003E-3</v>
      </c>
      <c r="P243" s="1952"/>
      <c r="Q243" s="2025"/>
      <c r="R243" s="2025"/>
      <c r="S243" s="2025"/>
    </row>
    <row r="244" spans="1:19" s="474" customFormat="1" ht="15">
      <c r="A244" s="2050"/>
      <c r="B244" s="2051"/>
      <c r="C244" s="2051"/>
      <c r="D244" s="2051"/>
      <c r="E244" s="2052"/>
      <c r="F244" s="2052" t="s">
        <v>1876</v>
      </c>
      <c r="G244" s="2053" t="s">
        <v>1877</v>
      </c>
      <c r="H244" s="2052" t="s">
        <v>1848</v>
      </c>
      <c r="I244" s="2052"/>
      <c r="J244" s="2054">
        <v>0.189</v>
      </c>
      <c r="K244" s="2170">
        <f>'TH vat tu XD'!G64</f>
        <v>3100000</v>
      </c>
      <c r="L244" s="2054"/>
      <c r="M244" s="2055">
        <f>IF(L244=0,J244*K244,J244*K244*L244)</f>
        <v>585900</v>
      </c>
      <c r="N244" s="2056">
        <f>IF(L244=0,I241*J244,I241*J244*L244)</f>
        <v>9.6333300000000011E-2</v>
      </c>
      <c r="O244" s="2057">
        <f>J247%*N244</f>
        <v>9.6333300000000014E-4</v>
      </c>
      <c r="P244" s="1952"/>
      <c r="Q244" s="2025"/>
      <c r="R244" s="2025"/>
      <c r="S244" s="2025"/>
    </row>
    <row r="245" spans="1:19" s="474" customFormat="1" ht="15">
      <c r="A245" s="2050"/>
      <c r="B245" s="2051"/>
      <c r="C245" s="2051"/>
      <c r="D245" s="2051"/>
      <c r="E245" s="2052"/>
      <c r="F245" s="2052" t="s">
        <v>1878</v>
      </c>
      <c r="G245" s="2053" t="s">
        <v>1879</v>
      </c>
      <c r="H245" s="2052" t="s">
        <v>1848</v>
      </c>
      <c r="I245" s="2052"/>
      <c r="J245" s="2054">
        <v>0.95699999999999996</v>
      </c>
      <c r="K245" s="2170">
        <f>'TH vat tu XD'!G63</f>
        <v>3100000</v>
      </c>
      <c r="L245" s="2054"/>
      <c r="M245" s="2055">
        <f>IF(L245=0,J245*K245,J245*K245*L245)</f>
        <v>2966700</v>
      </c>
      <c r="N245" s="2056">
        <f>IF(L245=0,I241*J245,I241*J245*L245)</f>
        <v>0.48778290000000002</v>
      </c>
      <c r="O245" s="2057">
        <f>J247%*N245</f>
        <v>4.8778290000000002E-3</v>
      </c>
      <c r="P245" s="1952"/>
      <c r="Q245" s="2025"/>
      <c r="R245" s="2025"/>
      <c r="S245" s="2025"/>
    </row>
    <row r="246" spans="1:19" s="474" customFormat="1" ht="15">
      <c r="A246" s="2050"/>
      <c r="B246" s="2051"/>
      <c r="C246" s="2051"/>
      <c r="D246" s="2051"/>
      <c r="E246" s="2052"/>
      <c r="F246" s="2052" t="s">
        <v>1880</v>
      </c>
      <c r="G246" s="2053" t="s">
        <v>1881</v>
      </c>
      <c r="H246" s="2052" t="s">
        <v>1856</v>
      </c>
      <c r="I246" s="2052"/>
      <c r="J246" s="2054">
        <v>14.29</v>
      </c>
      <c r="K246" s="2170">
        <f>'TH vat tu XD'!G61</f>
        <v>20000</v>
      </c>
      <c r="L246" s="2054"/>
      <c r="M246" s="2055">
        <f>IF(L246=0,J246*K246,J246*K246*L246)</f>
        <v>285800</v>
      </c>
      <c r="N246" s="2056">
        <f>IF(L246=0,I241*J246,I241*J246*L246)</f>
        <v>7.2836129999999999</v>
      </c>
      <c r="O246" s="2057">
        <f>J247%*N246</f>
        <v>7.2836129999999999E-2</v>
      </c>
      <c r="P246" s="1952"/>
      <c r="Q246" s="2025"/>
      <c r="R246" s="2025"/>
      <c r="S246" s="2025"/>
    </row>
    <row r="247" spans="1:19" s="474" customFormat="1" ht="15">
      <c r="A247" s="2050"/>
      <c r="B247" s="2051"/>
      <c r="C247" s="2051"/>
      <c r="D247" s="2051"/>
      <c r="E247" s="2052"/>
      <c r="F247" s="2052" t="s">
        <v>1882</v>
      </c>
      <c r="G247" s="2053" t="s">
        <v>226</v>
      </c>
      <c r="H247" s="2052" t="s">
        <v>1850</v>
      </c>
      <c r="I247" s="2052"/>
      <c r="J247" s="2054">
        <v>1</v>
      </c>
      <c r="K247" s="2055"/>
      <c r="L247" s="2054"/>
      <c r="M247" s="2055">
        <f>SUM(M243:M246)*J247%</f>
        <v>62998</v>
      </c>
      <c r="N247" s="2056"/>
      <c r="O247" s="2057"/>
      <c r="P247" s="1952"/>
      <c r="Q247" s="2025"/>
      <c r="R247" s="2025"/>
      <c r="S247" s="2025"/>
    </row>
    <row r="248" spans="1:19" s="474" customFormat="1" ht="15">
      <c r="A248" s="2050"/>
      <c r="B248" s="2051"/>
      <c r="C248" s="2051"/>
      <c r="D248" s="2051"/>
      <c r="E248" s="2052"/>
      <c r="F248" s="2052"/>
      <c r="G248" s="2067" t="s">
        <v>225</v>
      </c>
      <c r="H248" s="2067"/>
      <c r="I248" s="2067"/>
      <c r="J248" s="2071"/>
      <c r="K248" s="2069"/>
      <c r="L248" s="2070"/>
      <c r="M248" s="2069">
        <f>ROUND(SUM(M249:M249),Config!C103)</f>
        <v>6283750</v>
      </c>
      <c r="N248" s="2056"/>
      <c r="O248" s="2057"/>
      <c r="P248" s="1952"/>
      <c r="Q248" s="2025"/>
      <c r="R248" s="2025"/>
      <c r="S248" s="2025"/>
    </row>
    <row r="249" spans="1:19" s="474" customFormat="1" ht="15">
      <c r="A249" s="2050"/>
      <c r="B249" s="2051"/>
      <c r="C249" s="2051"/>
      <c r="D249" s="2051"/>
      <c r="E249" s="2052"/>
      <c r="F249" s="2052" t="s">
        <v>1866</v>
      </c>
      <c r="G249" s="2053" t="s">
        <v>1867</v>
      </c>
      <c r="H249" s="2052" t="s">
        <v>1833</v>
      </c>
      <c r="I249" s="2052"/>
      <c r="J249" s="2054">
        <v>27.5</v>
      </c>
      <c r="K249" s="2170">
        <f>'TH vat tu XD'!G74</f>
        <v>228500</v>
      </c>
      <c r="L249" s="2054"/>
      <c r="M249" s="2055">
        <f>IF(L249=0,J249*K249,J249*K249*L249)</f>
        <v>6283750</v>
      </c>
      <c r="N249" s="2056">
        <f>IF(L249=0,I241*J249,I241*J249*L249)</f>
        <v>14.016750000000002</v>
      </c>
      <c r="O249" s="2057"/>
      <c r="P249" s="1952"/>
      <c r="Q249" s="2025"/>
      <c r="R249" s="2025"/>
      <c r="S249" s="2025"/>
    </row>
    <row r="250" spans="1:19" s="474" customFormat="1" ht="15" hidden="1">
      <c r="A250" s="2050"/>
      <c r="B250" s="2051"/>
      <c r="C250" s="2051"/>
      <c r="D250" s="2051"/>
      <c r="E250" s="2052"/>
      <c r="F250" s="2052"/>
      <c r="G250" s="2065" t="s">
        <v>109</v>
      </c>
      <c r="H250" s="2052"/>
      <c r="I250" s="2052"/>
      <c r="J250" s="2052" t="s">
        <v>333</v>
      </c>
      <c r="K250" s="2055"/>
      <c r="L250" s="2054"/>
      <c r="M250" s="2066">
        <f>M242+M248+0</f>
        <v>12646548</v>
      </c>
      <c r="N250" s="2056"/>
      <c r="O250" s="2057"/>
      <c r="P250" s="1952"/>
      <c r="Q250" s="2025"/>
      <c r="R250" s="2025"/>
      <c r="S250" s="2025"/>
    </row>
    <row r="251" spans="1:19" s="474" customFormat="1" ht="15" hidden="1">
      <c r="A251" s="2050"/>
      <c r="B251" s="2051"/>
      <c r="C251" s="2051"/>
      <c r="D251" s="2051"/>
      <c r="E251" s="2052"/>
      <c r="F251" s="2052"/>
      <c r="G251" s="2065" t="s">
        <v>378</v>
      </c>
      <c r="H251" s="2052"/>
      <c r="I251" s="2052"/>
      <c r="J251" s="2052" t="str">
        <f ca="1">"T*"&amp;'THCP xay dung'!F77*100&amp;"%"</f>
        <v>T*6,2%</v>
      </c>
      <c r="K251" s="2055"/>
      <c r="L251" s="2054"/>
      <c r="M251" s="2066">
        <f ca="1">M250*'THCP xay dung'!F77*100%</f>
        <v>784085.97600000002</v>
      </c>
      <c r="N251" s="2056"/>
      <c r="O251" s="2057"/>
      <c r="P251" s="1952"/>
      <c r="Q251" s="2025"/>
      <c r="R251" s="2025"/>
      <c r="S251" s="2025"/>
    </row>
    <row r="252" spans="1:19" s="474" customFormat="1" ht="28.5" hidden="1">
      <c r="A252" s="2050"/>
      <c r="B252" s="2051"/>
      <c r="C252" s="2051"/>
      <c r="D252" s="2051"/>
      <c r="E252" s="2052"/>
      <c r="F252" s="2052"/>
      <c r="G252" s="2065" t="s">
        <v>702</v>
      </c>
      <c r="H252" s="2052"/>
      <c r="I252" s="2052"/>
      <c r="J252" s="2052" t="str">
        <f>IF('THCP xay dung'!G78&lt;&gt;1,"T*"&amp;'THCP xay dung'!F78*100&amp;"%"&amp;"*"&amp;'THCP xay dung'!G78,"T*"&amp;'THCP xay dung'!F78*100&amp;"%")</f>
        <v>T*1,1%</v>
      </c>
      <c r="K252" s="2055"/>
      <c r="L252" s="2054"/>
      <c r="M252" s="2066">
        <f>IF('THCP xay dung'!G78&lt;&gt;1,M250*'THCP xay dung'!F78*100%*'THCP xay dung'!G78,M250*'THCP xay dung'!F78*100%)</f>
        <v>139112.02800000002</v>
      </c>
      <c r="N252" s="2056"/>
      <c r="O252" s="2057"/>
      <c r="P252" s="1952"/>
      <c r="Q252" s="2025"/>
      <c r="R252" s="2025"/>
      <c r="S252" s="2025"/>
    </row>
    <row r="253" spans="1:19" s="474" customFormat="1" ht="42.75" hidden="1">
      <c r="A253" s="2050"/>
      <c r="B253" s="2051"/>
      <c r="C253" s="2051"/>
      <c r="D253" s="2051"/>
      <c r="E253" s="2052"/>
      <c r="F253" s="2052"/>
      <c r="G253" s="2065" t="s">
        <v>703</v>
      </c>
      <c r="H253" s="2052"/>
      <c r="I253" s="2052"/>
      <c r="J253" s="2052" t="str">
        <f ca="1">"T*"&amp;'THCP xay dung'!F79*100&amp;"%"</f>
        <v>T*2%</v>
      </c>
      <c r="K253" s="2055"/>
      <c r="L253" s="2054"/>
      <c r="M253" s="2066">
        <f ca="1">M250*'THCP xay dung'!F79*100%</f>
        <v>252930.96</v>
      </c>
      <c r="N253" s="2056"/>
      <c r="O253" s="2057"/>
      <c r="P253" s="1952"/>
      <c r="Q253" s="2025"/>
      <c r="R253" s="2025"/>
      <c r="S253" s="2025"/>
    </row>
    <row r="254" spans="1:19" s="474" customFormat="1" ht="15" hidden="1">
      <c r="A254" s="2050"/>
      <c r="B254" s="2051"/>
      <c r="C254" s="2051"/>
      <c r="D254" s="2051"/>
      <c r="E254" s="2052"/>
      <c r="F254" s="2052"/>
      <c r="G254" s="2065" t="s">
        <v>701</v>
      </c>
      <c r="H254" s="2052"/>
      <c r="I254" s="2052"/>
      <c r="J254" s="2052" t="s">
        <v>931</v>
      </c>
      <c r="K254" s="2055"/>
      <c r="L254" s="2054"/>
      <c r="M254" s="2066">
        <f ca="1">M251+M252+M253</f>
        <v>1176128.9640000002</v>
      </c>
      <c r="N254" s="2056"/>
      <c r="O254" s="2057"/>
      <c r="P254" s="1952"/>
      <c r="Q254" s="2025"/>
      <c r="R254" s="2025"/>
      <c r="S254" s="2025"/>
    </row>
    <row r="255" spans="1:19" s="474" customFormat="1" ht="15" hidden="1">
      <c r="A255" s="2050"/>
      <c r="B255" s="2051"/>
      <c r="C255" s="2051"/>
      <c r="D255" s="2051"/>
      <c r="E255" s="2052"/>
      <c r="F255" s="2052"/>
      <c r="G255" s="2065" t="s">
        <v>574</v>
      </c>
      <c r="H255" s="2052"/>
      <c r="I255" s="2052"/>
      <c r="J255" s="2052" t="str">
        <f ca="1">"(T+GT)*"&amp;'THCP xay dung'!F81*100&amp;"%"</f>
        <v>(T+GT)*6%</v>
      </c>
      <c r="K255" s="2055"/>
      <c r="L255" s="2054"/>
      <c r="M255" s="2066">
        <f ca="1">(M250+M254)*'THCP xay dung'!F81*100%</f>
        <v>829360.61783999996</v>
      </c>
      <c r="N255" s="2056"/>
      <c r="O255" s="2057"/>
      <c r="P255" s="1952"/>
      <c r="Q255" s="2025"/>
      <c r="R255" s="2025"/>
      <c r="S255" s="2025"/>
    </row>
    <row r="256" spans="1:19" s="474" customFormat="1" ht="15" hidden="1">
      <c r="A256" s="2050"/>
      <c r="B256" s="2051"/>
      <c r="C256" s="2051"/>
      <c r="D256" s="2051"/>
      <c r="E256" s="2052"/>
      <c r="F256" s="2052"/>
      <c r="G256" s="2065" t="s">
        <v>113</v>
      </c>
      <c r="H256" s="2052"/>
      <c r="I256" s="2052"/>
      <c r="J256" s="2052" t="s">
        <v>705</v>
      </c>
      <c r="K256" s="2055"/>
      <c r="L256" s="2054"/>
      <c r="M256" s="2066">
        <f ca="1">M250+M254+M255</f>
        <v>14652037.581839999</v>
      </c>
      <c r="N256" s="2056"/>
      <c r="O256" s="2057"/>
      <c r="P256" s="1952"/>
      <c r="Q256" s="2025"/>
      <c r="R256" s="2025"/>
      <c r="S256" s="2025"/>
    </row>
    <row r="257" spans="1:19" s="474" customFormat="1" ht="15" hidden="1">
      <c r="A257" s="2050"/>
      <c r="B257" s="2051"/>
      <c r="C257" s="2051"/>
      <c r="D257" s="2051"/>
      <c r="E257" s="2052"/>
      <c r="F257" s="2052"/>
      <c r="G257" s="2065" t="s">
        <v>575</v>
      </c>
      <c r="H257" s="2052"/>
      <c r="I257" s="2052"/>
      <c r="J257" s="2052" t="str">
        <f>"G*"&amp;'THCP xay dung'!F83*100&amp;"%"</f>
        <v>G*10%</v>
      </c>
      <c r="K257" s="2055"/>
      <c r="L257" s="2054"/>
      <c r="M257" s="2066">
        <f ca="1">M256*'THCP xay dung'!F83*100%</f>
        <v>1465203.7581839999</v>
      </c>
      <c r="N257" s="2056"/>
      <c r="O257" s="2057"/>
      <c r="P257" s="1952"/>
      <c r="Q257" s="2025"/>
      <c r="R257" s="2025"/>
      <c r="S257" s="2025"/>
    </row>
    <row r="258" spans="1:19" s="474" customFormat="1" ht="15" hidden="1">
      <c r="A258" s="2050"/>
      <c r="B258" s="2051"/>
      <c r="C258" s="2051"/>
      <c r="D258" s="2051"/>
      <c r="E258" s="2052"/>
      <c r="F258" s="2052"/>
      <c r="G258" s="2065" t="s">
        <v>117</v>
      </c>
      <c r="H258" s="2052"/>
      <c r="I258" s="2052"/>
      <c r="J258" s="2052" t="s">
        <v>596</v>
      </c>
      <c r="K258" s="2055"/>
      <c r="L258" s="2054"/>
      <c r="M258" s="2066">
        <f ca="1">M256+M257</f>
        <v>16117241.340023998</v>
      </c>
      <c r="N258" s="2056"/>
      <c r="O258" s="2057"/>
      <c r="P258" s="1952"/>
      <c r="Q258" s="2025"/>
      <c r="R258" s="2025"/>
      <c r="S258" s="2025"/>
    </row>
    <row r="259" spans="1:19" s="474" customFormat="1" ht="15" hidden="1">
      <c r="A259" s="2050"/>
      <c r="B259" s="2051"/>
      <c r="C259" s="2051"/>
      <c r="D259" s="2051"/>
      <c r="E259" s="2052"/>
      <c r="F259" s="2052"/>
      <c r="G259" s="2065" t="s">
        <v>168</v>
      </c>
      <c r="H259" s="2052"/>
      <c r="I259" s="2052"/>
      <c r="J259" s="2052" t="str">
        <f ca="1">"GXD*"&amp;'THCP xay dung'!F85*100&amp;"%"</f>
        <v>GXD*6%</v>
      </c>
      <c r="K259" s="2055"/>
      <c r="L259" s="2054"/>
      <c r="M259" s="2066">
        <f ca="1">M258*'THCP xay dung'!F85*100%</f>
        <v>967034.48040143983</v>
      </c>
      <c r="N259" s="2056"/>
      <c r="O259" s="2057"/>
      <c r="P259" s="1952"/>
      <c r="Q259" s="2025"/>
      <c r="R259" s="2025"/>
      <c r="S259" s="2025"/>
    </row>
    <row r="260" spans="1:19" s="474" customFormat="1" ht="15" hidden="1">
      <c r="A260" s="2090" t="s">
        <v>304</v>
      </c>
      <c r="B260" s="2091"/>
      <c r="C260" s="2091"/>
      <c r="D260" s="2091"/>
      <c r="E260" s="2092"/>
      <c r="F260" s="2092"/>
      <c r="G260" s="2075" t="s">
        <v>1837</v>
      </c>
      <c r="H260" s="2060"/>
      <c r="I260" s="2060"/>
      <c r="J260" s="2060" t="s">
        <v>1636</v>
      </c>
      <c r="K260" s="2062"/>
      <c r="L260" s="2061"/>
      <c r="M260" s="2074">
        <f ca="1">M258+M259</f>
        <v>17084275.82042544</v>
      </c>
      <c r="N260" s="2063"/>
      <c r="O260" s="2064"/>
      <c r="P260" s="1952"/>
      <c r="Q260" s="2025"/>
      <c r="R260" s="2025"/>
      <c r="S260" s="2025"/>
    </row>
    <row r="261" spans="1:19" s="474" customFormat="1" ht="45">
      <c r="A261" s="2093">
        <v>74</v>
      </c>
      <c r="B261" s="2094">
        <f>'Du toan XD'!B122</f>
        <v>2</v>
      </c>
      <c r="C261" s="2094"/>
      <c r="D261" s="2094" t="s">
        <v>1549</v>
      </c>
      <c r="E261" s="2093" t="s">
        <v>1549</v>
      </c>
      <c r="F261" s="2093"/>
      <c r="G261" s="2114" t="str">
        <f>'Du toan XD'!F122</f>
        <v>Gia công, lắp dựng cốt thép xà dầm, giằng, đường kính ≤10mm, chiều cao ≤6m</v>
      </c>
      <c r="H261" s="2093" t="str">
        <f>'Du toan XD'!G122</f>
        <v>tấn</v>
      </c>
      <c r="I261" s="2093">
        <f>'Du toan XD'!H122</f>
        <v>0.14990000000000001</v>
      </c>
      <c r="J261" s="2095"/>
      <c r="K261" s="2096"/>
      <c r="L261" s="2097"/>
      <c r="M261" s="2096"/>
      <c r="N261" s="2098"/>
      <c r="O261" s="2098"/>
      <c r="P261" s="1952">
        <f>M262</f>
        <v>22644390</v>
      </c>
      <c r="Q261" s="2025"/>
      <c r="R261" s="2025">
        <f>M265</f>
        <v>3516615</v>
      </c>
      <c r="S261" s="2025">
        <f>M267</f>
        <v>13870</v>
      </c>
    </row>
    <row r="262" spans="1:19" s="474" customFormat="1" ht="15">
      <c r="A262" s="2099"/>
      <c r="B262" s="2100"/>
      <c r="C262" s="2100"/>
      <c r="D262" s="2100"/>
      <c r="E262" s="2099"/>
      <c r="F262" s="2099"/>
      <c r="G262" s="2116" t="s">
        <v>224</v>
      </c>
      <c r="H262" s="2116"/>
      <c r="I262" s="2116"/>
      <c r="J262" s="2120"/>
      <c r="K262" s="2118"/>
      <c r="L262" s="2119"/>
      <c r="M262" s="2118">
        <f>ROUND(SUM(M263:M264),Config!C103)</f>
        <v>22644390</v>
      </c>
      <c r="N262" s="2106"/>
      <c r="O262" s="2106"/>
      <c r="P262" s="1952"/>
      <c r="Q262" s="2025"/>
      <c r="R262" s="2025"/>
      <c r="S262" s="2025"/>
    </row>
    <row r="263" spans="1:19" s="474" customFormat="1" ht="15">
      <c r="A263" s="2099"/>
      <c r="B263" s="2100"/>
      <c r="C263" s="2100"/>
      <c r="D263" s="2100"/>
      <c r="E263" s="2099"/>
      <c r="F263" s="2099" t="s">
        <v>1885</v>
      </c>
      <c r="G263" s="2115" t="s">
        <v>1886</v>
      </c>
      <c r="H263" s="2099" t="s">
        <v>1856</v>
      </c>
      <c r="I263" s="2099"/>
      <c r="J263" s="2102">
        <v>1005</v>
      </c>
      <c r="K263" s="2171">
        <f>'TH vat tu XD'!G69</f>
        <v>22100</v>
      </c>
      <c r="L263" s="2104"/>
      <c r="M263" s="2103">
        <f>IF(L263=0,J263*K263,J263*K263*L263)</f>
        <v>22210500</v>
      </c>
      <c r="N263" s="2106">
        <f>IF(L263=0,I261*J263,I261*J263*L263)</f>
        <v>150.64950000000002</v>
      </c>
      <c r="O263" s="2106"/>
      <c r="P263" s="1952"/>
      <c r="Q263" s="2025"/>
      <c r="R263" s="2025"/>
      <c r="S263" s="2025"/>
    </row>
    <row r="264" spans="1:19" s="474" customFormat="1" ht="15">
      <c r="A264" s="2099"/>
      <c r="B264" s="2100"/>
      <c r="C264" s="2100"/>
      <c r="D264" s="2100"/>
      <c r="E264" s="2099"/>
      <c r="F264" s="2099" t="s">
        <v>1887</v>
      </c>
      <c r="G264" s="2115" t="s">
        <v>1888</v>
      </c>
      <c r="H264" s="2099" t="s">
        <v>1856</v>
      </c>
      <c r="I264" s="2099"/>
      <c r="J264" s="2102">
        <v>16.07</v>
      </c>
      <c r="K264" s="2171">
        <f>'TH vat tu XD'!G62</f>
        <v>27000</v>
      </c>
      <c r="L264" s="2104"/>
      <c r="M264" s="2103">
        <f>IF(L264=0,J264*K264,J264*K264*L264)</f>
        <v>433890</v>
      </c>
      <c r="N264" s="2106">
        <f>IF(L264=0,I261*J264,I261*J264*L264)</f>
        <v>2.408893</v>
      </c>
      <c r="O264" s="2106"/>
      <c r="P264" s="1952"/>
      <c r="Q264" s="2025"/>
      <c r="R264" s="2025"/>
      <c r="S264" s="2025"/>
    </row>
    <row r="265" spans="1:19" s="474" customFormat="1" ht="15">
      <c r="A265" s="2099"/>
      <c r="B265" s="2100"/>
      <c r="C265" s="2100"/>
      <c r="D265" s="2100"/>
      <c r="E265" s="2099"/>
      <c r="F265" s="2099"/>
      <c r="G265" s="2116" t="s">
        <v>225</v>
      </c>
      <c r="H265" s="2116"/>
      <c r="I265" s="2116"/>
      <c r="J265" s="2120"/>
      <c r="K265" s="2118"/>
      <c r="L265" s="2119"/>
      <c r="M265" s="2118">
        <f>ROUND(SUM(M266:M266),Config!C103)</f>
        <v>3516615</v>
      </c>
      <c r="N265" s="2106"/>
      <c r="O265" s="2106"/>
      <c r="P265" s="1952"/>
      <c r="Q265" s="2025"/>
      <c r="R265" s="2025"/>
      <c r="S265" s="2025"/>
    </row>
    <row r="266" spans="1:19" s="474" customFormat="1" ht="15">
      <c r="A266" s="2099"/>
      <c r="B266" s="2100"/>
      <c r="C266" s="2100"/>
      <c r="D266" s="2100"/>
      <c r="E266" s="2099"/>
      <c r="F266" s="2099" t="s">
        <v>1866</v>
      </c>
      <c r="G266" s="2115" t="s">
        <v>1867</v>
      </c>
      <c r="H266" s="2099" t="s">
        <v>1833</v>
      </c>
      <c r="I266" s="2099"/>
      <c r="J266" s="2102">
        <v>15.39</v>
      </c>
      <c r="K266" s="2171">
        <f>'TH vat tu XD'!G74</f>
        <v>228500</v>
      </c>
      <c r="L266" s="2104"/>
      <c r="M266" s="2103">
        <f>IF(L266=0,J266*K266,J266*K266*L266)</f>
        <v>3516615</v>
      </c>
      <c r="N266" s="2106">
        <f>IF(L266=0,I261*J266,I261*J266*L266)</f>
        <v>2.3069610000000003</v>
      </c>
      <c r="O266" s="2106"/>
      <c r="P266" s="1952"/>
      <c r="Q266" s="2025"/>
      <c r="R266" s="2025"/>
      <c r="S266" s="2025"/>
    </row>
    <row r="267" spans="1:19" s="474" customFormat="1" ht="15">
      <c r="A267" s="2099"/>
      <c r="B267" s="2100"/>
      <c r="C267" s="2100"/>
      <c r="D267" s="2100"/>
      <c r="E267" s="2099"/>
      <c r="F267" s="2099"/>
      <c r="G267" s="2116" t="s">
        <v>228</v>
      </c>
      <c r="H267" s="2116"/>
      <c r="I267" s="2116"/>
      <c r="J267" s="2120"/>
      <c r="K267" s="2118"/>
      <c r="L267" s="2119"/>
      <c r="M267" s="2118">
        <f>ROUND(SUM(M268:M268),Config!C103)</f>
        <v>13870</v>
      </c>
      <c r="N267" s="2106"/>
      <c r="O267" s="2106"/>
      <c r="P267" s="1952"/>
      <c r="Q267" s="2025"/>
      <c r="R267" s="2025"/>
      <c r="S267" s="2025"/>
    </row>
    <row r="268" spans="1:19" s="474" customFormat="1" ht="15">
      <c r="A268" s="2099"/>
      <c r="B268" s="2100"/>
      <c r="C268" s="2100"/>
      <c r="D268" s="2100"/>
      <c r="E268" s="2099"/>
      <c r="F268" s="2099" t="s">
        <v>1889</v>
      </c>
      <c r="G268" s="2115" t="s">
        <v>1890</v>
      </c>
      <c r="H268" s="2099" t="s">
        <v>1836</v>
      </c>
      <c r="I268" s="2099"/>
      <c r="J268" s="2102">
        <v>0.4</v>
      </c>
      <c r="K268" s="2171">
        <f>'TH vat tu XD'!G77</f>
        <v>34676</v>
      </c>
      <c r="L268" s="2104"/>
      <c r="M268" s="2103">
        <f>IF(L268=0,J268*K268,J268*K268*L268)</f>
        <v>13870.400000000001</v>
      </c>
      <c r="N268" s="2106">
        <f>IF(L268=0,I261*J268,I261*J268*L268)</f>
        <v>5.9960000000000006E-2</v>
      </c>
      <c r="O268" s="2106"/>
      <c r="P268" s="1952"/>
      <c r="Q268" s="2025"/>
      <c r="R268" s="2025"/>
      <c r="S268" s="2025"/>
    </row>
    <row r="269" spans="1:19" s="474" customFormat="1" ht="15" hidden="1">
      <c r="A269" s="2099"/>
      <c r="B269" s="2100"/>
      <c r="C269" s="2100"/>
      <c r="D269" s="2100"/>
      <c r="E269" s="2099"/>
      <c r="F269" s="2099"/>
      <c r="G269" s="2101" t="s">
        <v>109</v>
      </c>
      <c r="H269" s="2099"/>
      <c r="I269" s="2099"/>
      <c r="J269" s="2099" t="s">
        <v>333</v>
      </c>
      <c r="K269" s="2103"/>
      <c r="L269" s="2104"/>
      <c r="M269" s="2105">
        <f>M262+M265+M267</f>
        <v>26174875</v>
      </c>
      <c r="N269" s="2106"/>
      <c r="O269" s="2106"/>
      <c r="P269" s="1952"/>
      <c r="Q269" s="2025"/>
      <c r="R269" s="2025"/>
      <c r="S269" s="2025"/>
    </row>
    <row r="270" spans="1:19" s="474" customFormat="1" ht="15" hidden="1">
      <c r="A270" s="2099"/>
      <c r="B270" s="2100"/>
      <c r="C270" s="2100"/>
      <c r="D270" s="2100"/>
      <c r="E270" s="2099"/>
      <c r="F270" s="2099"/>
      <c r="G270" s="2101" t="s">
        <v>378</v>
      </c>
      <c r="H270" s="2099"/>
      <c r="I270" s="2099"/>
      <c r="J270" s="2099" t="str">
        <f ca="1">"T*"&amp;'THCP xay dung'!F77*100&amp;"%"</f>
        <v>T*6,2%</v>
      </c>
      <c r="K270" s="2103"/>
      <c r="L270" s="2104"/>
      <c r="M270" s="2105">
        <f ca="1">M269*'THCP xay dung'!F77*100%</f>
        <v>1622842.25</v>
      </c>
      <c r="N270" s="2106"/>
      <c r="O270" s="2106"/>
      <c r="P270" s="1952"/>
      <c r="Q270" s="2025"/>
      <c r="R270" s="2025"/>
      <c r="S270" s="2025"/>
    </row>
    <row r="271" spans="1:19" s="474" customFormat="1" ht="28.5" hidden="1">
      <c r="A271" s="2099"/>
      <c r="B271" s="2100"/>
      <c r="C271" s="2100"/>
      <c r="D271" s="2100"/>
      <c r="E271" s="2099"/>
      <c r="F271" s="2099"/>
      <c r="G271" s="2101" t="s">
        <v>702</v>
      </c>
      <c r="H271" s="2099"/>
      <c r="I271" s="2099"/>
      <c r="J271" s="2099" t="str">
        <f>IF('THCP xay dung'!G78&lt;&gt;1,"T*"&amp;'THCP xay dung'!F78*100&amp;"%"&amp;"*"&amp;'THCP xay dung'!G78,"T*"&amp;'THCP xay dung'!F78*100&amp;"%")</f>
        <v>T*1,1%</v>
      </c>
      <c r="K271" s="2103"/>
      <c r="L271" s="2104"/>
      <c r="M271" s="2105">
        <f>IF('THCP xay dung'!G78&lt;&gt;1,M269*'THCP xay dung'!F78*100%*'THCP xay dung'!G78,M269*'THCP xay dung'!F78*100%)</f>
        <v>287923.625</v>
      </c>
      <c r="N271" s="2106"/>
      <c r="O271" s="2106"/>
      <c r="P271" s="1952"/>
      <c r="Q271" s="2025"/>
      <c r="R271" s="2025"/>
      <c r="S271" s="2025"/>
    </row>
    <row r="272" spans="1:19" s="474" customFormat="1" ht="42.75" hidden="1">
      <c r="A272" s="2099"/>
      <c r="B272" s="2100"/>
      <c r="C272" s="2100"/>
      <c r="D272" s="2100"/>
      <c r="E272" s="2099"/>
      <c r="F272" s="2099"/>
      <c r="G272" s="2101" t="s">
        <v>703</v>
      </c>
      <c r="H272" s="2099"/>
      <c r="I272" s="2099"/>
      <c r="J272" s="2099" t="str">
        <f ca="1">"T*"&amp;'THCP xay dung'!F79*100&amp;"%"</f>
        <v>T*2%</v>
      </c>
      <c r="K272" s="2103"/>
      <c r="L272" s="2104"/>
      <c r="M272" s="2105">
        <f ca="1">M269*'THCP xay dung'!F79*100%</f>
        <v>523497.5</v>
      </c>
      <c r="N272" s="2106"/>
      <c r="O272" s="2106"/>
      <c r="P272" s="1952"/>
      <c r="Q272" s="2025"/>
      <c r="R272" s="2025"/>
      <c r="S272" s="2025"/>
    </row>
    <row r="273" spans="1:19" s="474" customFormat="1" ht="15" hidden="1">
      <c r="A273" s="2099"/>
      <c r="B273" s="2100"/>
      <c r="C273" s="2100"/>
      <c r="D273" s="2100"/>
      <c r="E273" s="2099"/>
      <c r="F273" s="2099"/>
      <c r="G273" s="2101" t="s">
        <v>701</v>
      </c>
      <c r="H273" s="2099"/>
      <c r="I273" s="2099"/>
      <c r="J273" s="2099" t="s">
        <v>931</v>
      </c>
      <c r="K273" s="2103"/>
      <c r="L273" s="2104"/>
      <c r="M273" s="2105">
        <f ca="1">M270+M271+M272</f>
        <v>2434263.375</v>
      </c>
      <c r="N273" s="2106"/>
      <c r="O273" s="2106"/>
      <c r="P273" s="1952"/>
      <c r="Q273" s="2025"/>
      <c r="R273" s="2025"/>
      <c r="S273" s="2025"/>
    </row>
    <row r="274" spans="1:19" s="474" customFormat="1" ht="15" hidden="1">
      <c r="A274" s="2099"/>
      <c r="B274" s="2100"/>
      <c r="C274" s="2100"/>
      <c r="D274" s="2100"/>
      <c r="E274" s="2099"/>
      <c r="F274" s="2099"/>
      <c r="G274" s="2101" t="s">
        <v>574</v>
      </c>
      <c r="H274" s="2099"/>
      <c r="I274" s="2099"/>
      <c r="J274" s="2099" t="str">
        <f ca="1">"(T+GT)*"&amp;'THCP xay dung'!F81*100&amp;"%"</f>
        <v>(T+GT)*6%</v>
      </c>
      <c r="K274" s="2103"/>
      <c r="L274" s="2104"/>
      <c r="M274" s="2105">
        <f ca="1">(M269+M273)*'THCP xay dung'!F81*100%</f>
        <v>1716548.3025</v>
      </c>
      <c r="N274" s="2106"/>
      <c r="O274" s="2106"/>
      <c r="P274" s="1952"/>
      <c r="Q274" s="2025"/>
      <c r="R274" s="2025"/>
      <c r="S274" s="2025"/>
    </row>
    <row r="275" spans="1:19" s="474" customFormat="1" ht="15" hidden="1">
      <c r="A275" s="2099"/>
      <c r="B275" s="2100"/>
      <c r="C275" s="2100"/>
      <c r="D275" s="2100"/>
      <c r="E275" s="2099"/>
      <c r="F275" s="2099"/>
      <c r="G275" s="2101" t="s">
        <v>113</v>
      </c>
      <c r="H275" s="2099"/>
      <c r="I275" s="2099"/>
      <c r="J275" s="2099" t="s">
        <v>705</v>
      </c>
      <c r="K275" s="2103"/>
      <c r="L275" s="2104"/>
      <c r="M275" s="2105">
        <f ca="1">M269+M273+M274</f>
        <v>30325686.677499998</v>
      </c>
      <c r="N275" s="2106"/>
      <c r="O275" s="2106"/>
      <c r="P275" s="1952"/>
      <c r="Q275" s="2025"/>
      <c r="R275" s="2025"/>
      <c r="S275" s="2025"/>
    </row>
    <row r="276" spans="1:19" s="474" customFormat="1" ht="15" hidden="1">
      <c r="A276" s="2099"/>
      <c r="B276" s="2100"/>
      <c r="C276" s="2100"/>
      <c r="D276" s="2100"/>
      <c r="E276" s="2099"/>
      <c r="F276" s="2099"/>
      <c r="G276" s="2101" t="s">
        <v>575</v>
      </c>
      <c r="H276" s="2099"/>
      <c r="I276" s="2099"/>
      <c r="J276" s="2099" t="str">
        <f>"G*"&amp;'THCP xay dung'!F83*100&amp;"%"</f>
        <v>G*10%</v>
      </c>
      <c r="K276" s="2103"/>
      <c r="L276" s="2104"/>
      <c r="M276" s="2105">
        <f ca="1">M275*'THCP xay dung'!F83*100%</f>
        <v>3032568.66775</v>
      </c>
      <c r="N276" s="2106"/>
      <c r="O276" s="2106"/>
      <c r="P276" s="1952"/>
      <c r="Q276" s="2025"/>
      <c r="R276" s="2025"/>
      <c r="S276" s="2025"/>
    </row>
    <row r="277" spans="1:19" s="474" customFormat="1" ht="15" hidden="1">
      <c r="A277" s="2099"/>
      <c r="B277" s="2100"/>
      <c r="C277" s="2100"/>
      <c r="D277" s="2100"/>
      <c r="E277" s="2099"/>
      <c r="F277" s="2099"/>
      <c r="G277" s="2101" t="s">
        <v>117</v>
      </c>
      <c r="H277" s="2099"/>
      <c r="I277" s="2099"/>
      <c r="J277" s="2099" t="s">
        <v>596</v>
      </c>
      <c r="K277" s="2103"/>
      <c r="L277" s="2104"/>
      <c r="M277" s="2105">
        <f ca="1">M275+M276</f>
        <v>33358255.345249999</v>
      </c>
      <c r="N277" s="2106"/>
      <c r="O277" s="2106"/>
      <c r="P277" s="1952"/>
      <c r="Q277" s="2025"/>
      <c r="R277" s="2025"/>
      <c r="S277" s="2025"/>
    </row>
    <row r="278" spans="1:19" s="474" customFormat="1" ht="15" hidden="1">
      <c r="A278" s="2099"/>
      <c r="B278" s="2100"/>
      <c r="C278" s="2100"/>
      <c r="D278" s="2100"/>
      <c r="E278" s="2099"/>
      <c r="F278" s="2099"/>
      <c r="G278" s="2101" t="s">
        <v>168</v>
      </c>
      <c r="H278" s="2099"/>
      <c r="I278" s="2099"/>
      <c r="J278" s="2099" t="str">
        <f ca="1">"GXD*"&amp;'THCP xay dung'!F85*100&amp;"%"</f>
        <v>GXD*6%</v>
      </c>
      <c r="K278" s="2103"/>
      <c r="L278" s="2104"/>
      <c r="M278" s="2105">
        <f ca="1">M277*'THCP xay dung'!F85*100%</f>
        <v>2001495.3207149999</v>
      </c>
      <c r="N278" s="2106"/>
      <c r="O278" s="2106"/>
      <c r="P278" s="1952"/>
      <c r="Q278" s="2025"/>
      <c r="R278" s="2025"/>
      <c r="S278" s="2025"/>
    </row>
    <row r="279" spans="1:19" s="474" customFormat="1" ht="15" hidden="1">
      <c r="A279" s="2122" t="s">
        <v>304</v>
      </c>
      <c r="B279" s="2123"/>
      <c r="C279" s="2123"/>
      <c r="D279" s="2123"/>
      <c r="E279" s="2122"/>
      <c r="F279" s="2122"/>
      <c r="G279" s="2109" t="s">
        <v>1837</v>
      </c>
      <c r="H279" s="2107"/>
      <c r="I279" s="2107"/>
      <c r="J279" s="2107" t="s">
        <v>1636</v>
      </c>
      <c r="K279" s="2110"/>
      <c r="L279" s="2111"/>
      <c r="M279" s="2112">
        <f ca="1">M277+M278</f>
        <v>35359750.665964998</v>
      </c>
      <c r="N279" s="2113"/>
      <c r="O279" s="2113"/>
      <c r="P279" s="1952"/>
      <c r="Q279" s="2025"/>
      <c r="R279" s="2025"/>
      <c r="S279" s="2025"/>
    </row>
    <row r="280" spans="1:19" s="474" customFormat="1" ht="45">
      <c r="A280" s="2124">
        <v>75</v>
      </c>
      <c r="B280" s="2125">
        <f>'Du toan XD'!B127</f>
        <v>3</v>
      </c>
      <c r="C280" s="2125"/>
      <c r="D280" s="2125" t="s">
        <v>1550</v>
      </c>
      <c r="E280" s="2126" t="s">
        <v>1550</v>
      </c>
      <c r="F280" s="2126"/>
      <c r="G280" s="2132" t="str">
        <f>'Du toan XD'!F127</f>
        <v>Gia công, lắp dựng cốt thép xà dầm, giằng, đường kính ≤18mm, chiều cao ≤6m</v>
      </c>
      <c r="H280" s="2126" t="str">
        <f>'Du toan XD'!G127</f>
        <v>tấn</v>
      </c>
      <c r="I280" s="2126">
        <f>'Du toan XD'!H127</f>
        <v>0.95259999999999989</v>
      </c>
      <c r="J280" s="2127"/>
      <c r="K280" s="2128"/>
      <c r="L280" s="2129"/>
      <c r="M280" s="2128"/>
      <c r="N280" s="2130"/>
      <c r="O280" s="2131"/>
      <c r="P280" s="1952">
        <f>M281</f>
        <v>22789260</v>
      </c>
      <c r="Q280" s="2025"/>
      <c r="R280" s="2025">
        <f>M285</f>
        <v>2111340</v>
      </c>
      <c r="S280" s="2025">
        <f>M287</f>
        <v>147281</v>
      </c>
    </row>
    <row r="281" spans="1:19" s="474" customFormat="1" ht="15">
      <c r="A281" s="2050"/>
      <c r="B281" s="2051"/>
      <c r="C281" s="2051"/>
      <c r="D281" s="2051"/>
      <c r="E281" s="2052"/>
      <c r="F281" s="2052"/>
      <c r="G281" s="2067" t="s">
        <v>224</v>
      </c>
      <c r="H281" s="2067"/>
      <c r="I281" s="2067"/>
      <c r="J281" s="2134"/>
      <c r="K281" s="2069"/>
      <c r="L281" s="2070"/>
      <c r="M281" s="2069">
        <f>ROUND(SUM(M282:M284),Config!C103)</f>
        <v>22789260</v>
      </c>
      <c r="N281" s="2056"/>
      <c r="O281" s="2057"/>
      <c r="P281" s="1952"/>
      <c r="Q281" s="2025"/>
      <c r="R281" s="2025"/>
      <c r="S281" s="2025"/>
    </row>
    <row r="282" spans="1:19" s="474" customFormat="1" ht="15">
      <c r="A282" s="2050"/>
      <c r="B282" s="2051"/>
      <c r="C282" s="2051"/>
      <c r="D282" s="2051"/>
      <c r="E282" s="2052"/>
      <c r="F282" s="2052" t="s">
        <v>1892</v>
      </c>
      <c r="G282" s="2053" t="s">
        <v>1893</v>
      </c>
      <c r="H282" s="2052" t="s">
        <v>1856</v>
      </c>
      <c r="I282" s="2052"/>
      <c r="J282" s="2073">
        <v>1020</v>
      </c>
      <c r="K282" s="2170">
        <f>'TH vat tu XD'!G70</f>
        <v>22000</v>
      </c>
      <c r="L282" s="2054"/>
      <c r="M282" s="2055">
        <f>IF(L282=0,J282*K282,J282*K282*L282)</f>
        <v>22440000</v>
      </c>
      <c r="N282" s="2056">
        <f>IF(L282=0,I280*J282,I280*J282*L282)</f>
        <v>971.65199999999993</v>
      </c>
      <c r="O282" s="2057"/>
      <c r="P282" s="1952"/>
      <c r="Q282" s="2025"/>
      <c r="R282" s="2025"/>
      <c r="S282" s="2025"/>
    </row>
    <row r="283" spans="1:19" s="474" customFormat="1" ht="15">
      <c r="A283" s="2050"/>
      <c r="B283" s="2051"/>
      <c r="C283" s="2051"/>
      <c r="D283" s="2051"/>
      <c r="E283" s="2052"/>
      <c r="F283" s="2052" t="s">
        <v>1887</v>
      </c>
      <c r="G283" s="2053" t="s">
        <v>1888</v>
      </c>
      <c r="H283" s="2052" t="s">
        <v>1856</v>
      </c>
      <c r="I283" s="2052"/>
      <c r="J283" s="2073">
        <v>9.2799999999999994</v>
      </c>
      <c r="K283" s="2170">
        <f>'TH vat tu XD'!G62</f>
        <v>27000</v>
      </c>
      <c r="L283" s="2054"/>
      <c r="M283" s="2055">
        <f>IF(L283=0,J283*K283,J283*K283*L283)</f>
        <v>250559.99999999997</v>
      </c>
      <c r="N283" s="2056">
        <f>IF(L283=0,I280*J283,I280*J283*L283)</f>
        <v>8.8401279999999982</v>
      </c>
      <c r="O283" s="2057"/>
      <c r="P283" s="1952"/>
      <c r="Q283" s="2025"/>
      <c r="R283" s="2025"/>
      <c r="S283" s="2025"/>
    </row>
    <row r="284" spans="1:19" s="474" customFormat="1" ht="15">
      <c r="A284" s="2050"/>
      <c r="B284" s="2051"/>
      <c r="C284" s="2051"/>
      <c r="D284" s="2051"/>
      <c r="E284" s="2052"/>
      <c r="F284" s="2052" t="s">
        <v>1894</v>
      </c>
      <c r="G284" s="2053" t="s">
        <v>1895</v>
      </c>
      <c r="H284" s="2052" t="s">
        <v>1856</v>
      </c>
      <c r="I284" s="2052"/>
      <c r="J284" s="2073">
        <v>4.7</v>
      </c>
      <c r="K284" s="2170">
        <f>'TH vat tu XD'!G67</f>
        <v>21000</v>
      </c>
      <c r="L284" s="2054"/>
      <c r="M284" s="2055">
        <f>IF(L284=0,J284*K284,J284*K284*L284)</f>
        <v>98700</v>
      </c>
      <c r="N284" s="2056">
        <f>IF(L284=0,I280*J284,I280*J284*L284)</f>
        <v>4.47722</v>
      </c>
      <c r="O284" s="2057"/>
      <c r="P284" s="1952"/>
      <c r="Q284" s="2025"/>
      <c r="R284" s="2025"/>
      <c r="S284" s="2025"/>
    </row>
    <row r="285" spans="1:19" s="474" customFormat="1" ht="15">
      <c r="A285" s="2050"/>
      <c r="B285" s="2051"/>
      <c r="C285" s="2051"/>
      <c r="D285" s="2051"/>
      <c r="E285" s="2052"/>
      <c r="F285" s="2052"/>
      <c r="G285" s="2067" t="s">
        <v>225</v>
      </c>
      <c r="H285" s="2067"/>
      <c r="I285" s="2067"/>
      <c r="J285" s="2134"/>
      <c r="K285" s="2069"/>
      <c r="L285" s="2070"/>
      <c r="M285" s="2069">
        <f>ROUND(SUM(M286:M286),Config!C103)</f>
        <v>2111340</v>
      </c>
      <c r="N285" s="2056"/>
      <c r="O285" s="2057"/>
      <c r="P285" s="1952"/>
      <c r="Q285" s="2025"/>
      <c r="R285" s="2025"/>
      <c r="S285" s="2025"/>
    </row>
    <row r="286" spans="1:19" s="474" customFormat="1" ht="15">
      <c r="A286" s="2050"/>
      <c r="B286" s="2051"/>
      <c r="C286" s="2051"/>
      <c r="D286" s="2051"/>
      <c r="E286" s="2052"/>
      <c r="F286" s="2052" t="s">
        <v>1866</v>
      </c>
      <c r="G286" s="2053" t="s">
        <v>1867</v>
      </c>
      <c r="H286" s="2052" t="s">
        <v>1833</v>
      </c>
      <c r="I286" s="2052"/>
      <c r="J286" s="2073">
        <v>9.24</v>
      </c>
      <c r="K286" s="2170">
        <f>'TH vat tu XD'!G74</f>
        <v>228500</v>
      </c>
      <c r="L286" s="2054"/>
      <c r="M286" s="2055">
        <f>IF(L286=0,J286*K286,J286*K286*L286)</f>
        <v>2111340</v>
      </c>
      <c r="N286" s="2056">
        <f>IF(L286=0,I280*J286,I280*J286*L286)</f>
        <v>8.8020239999999994</v>
      </c>
      <c r="O286" s="2057"/>
      <c r="P286" s="1952"/>
      <c r="Q286" s="2025"/>
      <c r="R286" s="2025"/>
      <c r="S286" s="2025"/>
    </row>
    <row r="287" spans="1:19" s="474" customFormat="1" ht="15">
      <c r="A287" s="2050"/>
      <c r="B287" s="2051"/>
      <c r="C287" s="2051"/>
      <c r="D287" s="2051"/>
      <c r="E287" s="2052"/>
      <c r="F287" s="2052"/>
      <c r="G287" s="2067" t="s">
        <v>228</v>
      </c>
      <c r="H287" s="2067"/>
      <c r="I287" s="2067"/>
      <c r="J287" s="2134"/>
      <c r="K287" s="2069"/>
      <c r="L287" s="2070"/>
      <c r="M287" s="2069">
        <f>ROUND(SUM(M288:M289),Config!C103)</f>
        <v>147281</v>
      </c>
      <c r="N287" s="2056"/>
      <c r="O287" s="2057"/>
      <c r="P287" s="1952"/>
      <c r="Q287" s="2025"/>
      <c r="R287" s="2025"/>
      <c r="S287" s="2025"/>
    </row>
    <row r="288" spans="1:19" s="474" customFormat="1" ht="15">
      <c r="A288" s="2050"/>
      <c r="B288" s="2051"/>
      <c r="C288" s="2051"/>
      <c r="D288" s="2051"/>
      <c r="E288" s="2052"/>
      <c r="F288" s="2052" t="s">
        <v>1896</v>
      </c>
      <c r="G288" s="2053" t="s">
        <v>1897</v>
      </c>
      <c r="H288" s="2052" t="s">
        <v>1836</v>
      </c>
      <c r="I288" s="2052"/>
      <c r="J288" s="2073">
        <v>1.133</v>
      </c>
      <c r="K288" s="2170">
        <f>'TH vat tu XD'!G79</f>
        <v>120198</v>
      </c>
      <c r="L288" s="2054"/>
      <c r="M288" s="2055">
        <f>IF(L288=0,J288*K288,J288*K288*L288)</f>
        <v>136184.334</v>
      </c>
      <c r="N288" s="2056">
        <f>IF(L288=0,I280*J288,I280*J288*L288)</f>
        <v>1.0792957999999999</v>
      </c>
      <c r="O288" s="2057"/>
      <c r="P288" s="1952"/>
      <c r="Q288" s="2025"/>
      <c r="R288" s="2025"/>
      <c r="S288" s="2025"/>
    </row>
    <row r="289" spans="1:19" s="474" customFormat="1" ht="15">
      <c r="A289" s="2050"/>
      <c r="B289" s="2051"/>
      <c r="C289" s="2051"/>
      <c r="D289" s="2051"/>
      <c r="E289" s="2052"/>
      <c r="F289" s="2052" t="s">
        <v>1889</v>
      </c>
      <c r="G289" s="2053" t="s">
        <v>1890</v>
      </c>
      <c r="H289" s="2052" t="s">
        <v>1836</v>
      </c>
      <c r="I289" s="2052"/>
      <c r="J289" s="2073">
        <v>0.32</v>
      </c>
      <c r="K289" s="2170">
        <f>'TH vat tu XD'!G77</f>
        <v>34676</v>
      </c>
      <c r="L289" s="2054"/>
      <c r="M289" s="2055">
        <f>IF(L289=0,J289*K289,J289*K289*L289)</f>
        <v>11096.32</v>
      </c>
      <c r="N289" s="2056">
        <f>IF(L289=0,I280*J289,I280*J289*L289)</f>
        <v>0.30483199999999999</v>
      </c>
      <c r="O289" s="2057"/>
      <c r="P289" s="1952"/>
      <c r="Q289" s="2025"/>
      <c r="R289" s="2025"/>
      <c r="S289" s="2025"/>
    </row>
    <row r="290" spans="1:19" s="474" customFormat="1" ht="15" hidden="1">
      <c r="A290" s="2050"/>
      <c r="B290" s="2051"/>
      <c r="C290" s="2051"/>
      <c r="D290" s="2051"/>
      <c r="E290" s="2052"/>
      <c r="F290" s="2052"/>
      <c r="G290" s="2065" t="s">
        <v>109</v>
      </c>
      <c r="H290" s="2052"/>
      <c r="I290" s="2052"/>
      <c r="J290" s="2052" t="s">
        <v>333</v>
      </c>
      <c r="K290" s="2055"/>
      <c r="L290" s="2054"/>
      <c r="M290" s="2066">
        <f>M281+M285+M287</f>
        <v>25047881</v>
      </c>
      <c r="N290" s="2056"/>
      <c r="O290" s="2057"/>
      <c r="P290" s="1952"/>
      <c r="Q290" s="2025"/>
      <c r="R290" s="2025"/>
      <c r="S290" s="2025"/>
    </row>
    <row r="291" spans="1:19" s="474" customFormat="1" ht="15" hidden="1">
      <c r="A291" s="2050"/>
      <c r="B291" s="2051"/>
      <c r="C291" s="2051"/>
      <c r="D291" s="2051"/>
      <c r="E291" s="2052"/>
      <c r="F291" s="2052"/>
      <c r="G291" s="2065" t="s">
        <v>378</v>
      </c>
      <c r="H291" s="2052"/>
      <c r="I291" s="2052"/>
      <c r="J291" s="2052" t="str">
        <f ca="1">"T*"&amp;'THCP xay dung'!F77*100&amp;"%"</f>
        <v>T*6,2%</v>
      </c>
      <c r="K291" s="2055"/>
      <c r="L291" s="2054"/>
      <c r="M291" s="2066">
        <f ca="1">M290*'THCP xay dung'!F77*100%</f>
        <v>1552968.622</v>
      </c>
      <c r="N291" s="2056"/>
      <c r="O291" s="2057"/>
      <c r="P291" s="1952"/>
      <c r="Q291" s="2025"/>
      <c r="R291" s="2025"/>
      <c r="S291" s="2025"/>
    </row>
    <row r="292" spans="1:19" s="474" customFormat="1" ht="28.5" hidden="1">
      <c r="A292" s="2050"/>
      <c r="B292" s="2051"/>
      <c r="C292" s="2051"/>
      <c r="D292" s="2051"/>
      <c r="E292" s="2052"/>
      <c r="F292" s="2052"/>
      <c r="G292" s="2065" t="s">
        <v>702</v>
      </c>
      <c r="H292" s="2052"/>
      <c r="I292" s="2052"/>
      <c r="J292" s="2052" t="str">
        <f>IF('THCP xay dung'!G78&lt;&gt;1,"T*"&amp;'THCP xay dung'!F78*100&amp;"%"&amp;"*"&amp;'THCP xay dung'!G78,"T*"&amp;'THCP xay dung'!F78*100&amp;"%")</f>
        <v>T*1,1%</v>
      </c>
      <c r="K292" s="2055"/>
      <c r="L292" s="2054"/>
      <c r="M292" s="2066">
        <f>IF('THCP xay dung'!G78&lt;&gt;1,M290*'THCP xay dung'!F78*100%*'THCP xay dung'!G78,M290*'THCP xay dung'!F78*100%)</f>
        <v>275526.69100000005</v>
      </c>
      <c r="N292" s="2056"/>
      <c r="O292" s="2057"/>
      <c r="P292" s="1952"/>
      <c r="Q292" s="2025"/>
      <c r="R292" s="2025"/>
      <c r="S292" s="2025"/>
    </row>
    <row r="293" spans="1:19" s="474" customFormat="1" ht="42.75" hidden="1">
      <c r="A293" s="2050"/>
      <c r="B293" s="2051"/>
      <c r="C293" s="2051"/>
      <c r="D293" s="2051"/>
      <c r="E293" s="2052"/>
      <c r="F293" s="2052"/>
      <c r="G293" s="2065" t="s">
        <v>703</v>
      </c>
      <c r="H293" s="2052"/>
      <c r="I293" s="2052"/>
      <c r="J293" s="2052" t="str">
        <f ca="1">"T*"&amp;'THCP xay dung'!F79*100&amp;"%"</f>
        <v>T*2%</v>
      </c>
      <c r="K293" s="2055"/>
      <c r="L293" s="2054"/>
      <c r="M293" s="2066">
        <f ca="1">M290*'THCP xay dung'!F79*100%</f>
        <v>500957.62</v>
      </c>
      <c r="N293" s="2056"/>
      <c r="O293" s="2057"/>
      <c r="P293" s="1952"/>
      <c r="Q293" s="2025"/>
      <c r="R293" s="2025"/>
      <c r="S293" s="2025"/>
    </row>
    <row r="294" spans="1:19" s="474" customFormat="1" ht="15" hidden="1">
      <c r="A294" s="2050"/>
      <c r="B294" s="2051"/>
      <c r="C294" s="2051"/>
      <c r="D294" s="2051"/>
      <c r="E294" s="2052"/>
      <c r="F294" s="2052"/>
      <c r="G294" s="2065" t="s">
        <v>701</v>
      </c>
      <c r="H294" s="2052"/>
      <c r="I294" s="2052"/>
      <c r="J294" s="2052" t="s">
        <v>931</v>
      </c>
      <c r="K294" s="2055"/>
      <c r="L294" s="2054"/>
      <c r="M294" s="2066">
        <f ca="1">M291+M292+M293</f>
        <v>2329452.9330000002</v>
      </c>
      <c r="N294" s="2056"/>
      <c r="O294" s="2057"/>
      <c r="P294" s="1952"/>
      <c r="Q294" s="2025"/>
      <c r="R294" s="2025"/>
      <c r="S294" s="2025"/>
    </row>
    <row r="295" spans="1:19" s="474" customFormat="1" ht="15" hidden="1">
      <c r="A295" s="2050"/>
      <c r="B295" s="2051"/>
      <c r="C295" s="2051"/>
      <c r="D295" s="2051"/>
      <c r="E295" s="2052"/>
      <c r="F295" s="2052"/>
      <c r="G295" s="2065" t="s">
        <v>574</v>
      </c>
      <c r="H295" s="2052"/>
      <c r="I295" s="2052"/>
      <c r="J295" s="2052" t="str">
        <f ca="1">"(T+GT)*"&amp;'THCP xay dung'!F81*100&amp;"%"</f>
        <v>(T+GT)*6%</v>
      </c>
      <c r="K295" s="2055"/>
      <c r="L295" s="2054"/>
      <c r="M295" s="2066">
        <f ca="1">(M290+M294)*'THCP xay dung'!F81*100%</f>
        <v>1642640.0359799999</v>
      </c>
      <c r="N295" s="2056"/>
      <c r="O295" s="2057"/>
      <c r="P295" s="1952"/>
      <c r="Q295" s="2025"/>
      <c r="R295" s="2025"/>
      <c r="S295" s="2025"/>
    </row>
    <row r="296" spans="1:19" s="474" customFormat="1" ht="15" hidden="1">
      <c r="A296" s="2050"/>
      <c r="B296" s="2051"/>
      <c r="C296" s="2051"/>
      <c r="D296" s="2051"/>
      <c r="E296" s="2052"/>
      <c r="F296" s="2052"/>
      <c r="G296" s="2065" t="s">
        <v>113</v>
      </c>
      <c r="H296" s="2052"/>
      <c r="I296" s="2052"/>
      <c r="J296" s="2052" t="s">
        <v>705</v>
      </c>
      <c r="K296" s="2055"/>
      <c r="L296" s="2054"/>
      <c r="M296" s="2066">
        <f ca="1">M290+M294+M295</f>
        <v>29019973.968979999</v>
      </c>
      <c r="N296" s="2056"/>
      <c r="O296" s="2057"/>
      <c r="P296" s="1952"/>
      <c r="Q296" s="2025"/>
      <c r="R296" s="2025"/>
      <c r="S296" s="2025"/>
    </row>
    <row r="297" spans="1:19" s="474" customFormat="1" ht="15" hidden="1">
      <c r="A297" s="2050"/>
      <c r="B297" s="2051"/>
      <c r="C297" s="2051"/>
      <c r="D297" s="2051"/>
      <c r="E297" s="2052"/>
      <c r="F297" s="2052"/>
      <c r="G297" s="2065" t="s">
        <v>575</v>
      </c>
      <c r="H297" s="2052"/>
      <c r="I297" s="2052"/>
      <c r="J297" s="2052" t="str">
        <f>"G*"&amp;'THCP xay dung'!F83*100&amp;"%"</f>
        <v>G*10%</v>
      </c>
      <c r="K297" s="2055"/>
      <c r="L297" s="2054"/>
      <c r="M297" s="2066">
        <f ca="1">M296*'THCP xay dung'!F83*100%</f>
        <v>2901997.396898</v>
      </c>
      <c r="N297" s="2056"/>
      <c r="O297" s="2057"/>
      <c r="P297" s="1952"/>
      <c r="Q297" s="2025"/>
      <c r="R297" s="2025"/>
      <c r="S297" s="2025"/>
    </row>
    <row r="298" spans="1:19" s="474" customFormat="1" ht="15" hidden="1">
      <c r="A298" s="2050"/>
      <c r="B298" s="2051"/>
      <c r="C298" s="2051"/>
      <c r="D298" s="2051"/>
      <c r="E298" s="2052"/>
      <c r="F298" s="2052"/>
      <c r="G298" s="2065" t="s">
        <v>117</v>
      </c>
      <c r="H298" s="2052"/>
      <c r="I298" s="2052"/>
      <c r="J298" s="2052" t="s">
        <v>596</v>
      </c>
      <c r="K298" s="2055"/>
      <c r="L298" s="2054"/>
      <c r="M298" s="2066">
        <f ca="1">M296+M297</f>
        <v>31921971.365878001</v>
      </c>
      <c r="N298" s="2056"/>
      <c r="O298" s="2057"/>
      <c r="P298" s="1952"/>
      <c r="Q298" s="2025"/>
      <c r="R298" s="2025"/>
      <c r="S298" s="2025"/>
    </row>
    <row r="299" spans="1:19" s="474" customFormat="1" ht="15" hidden="1">
      <c r="A299" s="2050"/>
      <c r="B299" s="2051"/>
      <c r="C299" s="2051"/>
      <c r="D299" s="2051"/>
      <c r="E299" s="2052"/>
      <c r="F299" s="2052"/>
      <c r="G299" s="2065" t="s">
        <v>168</v>
      </c>
      <c r="H299" s="2052"/>
      <c r="I299" s="2052"/>
      <c r="J299" s="2052" t="str">
        <f ca="1">"GXD*"&amp;'THCP xay dung'!F85*100&amp;"%"</f>
        <v>GXD*6%</v>
      </c>
      <c r="K299" s="2055"/>
      <c r="L299" s="2054"/>
      <c r="M299" s="2066">
        <f ca="1">M298*'THCP xay dung'!F85*100%</f>
        <v>1915318.2819526801</v>
      </c>
      <c r="N299" s="2056"/>
      <c r="O299" s="2057"/>
      <c r="P299" s="1952"/>
      <c r="Q299" s="2025"/>
      <c r="R299" s="2025"/>
      <c r="S299" s="2025"/>
    </row>
    <row r="300" spans="1:19" s="474" customFormat="1" ht="15" hidden="1">
      <c r="A300" s="2090" t="s">
        <v>304</v>
      </c>
      <c r="B300" s="2091"/>
      <c r="C300" s="2091"/>
      <c r="D300" s="2091"/>
      <c r="E300" s="2092"/>
      <c r="F300" s="2092"/>
      <c r="G300" s="2075" t="s">
        <v>1837</v>
      </c>
      <c r="H300" s="2060"/>
      <c r="I300" s="2060"/>
      <c r="J300" s="2060" t="s">
        <v>1636</v>
      </c>
      <c r="K300" s="2062"/>
      <c r="L300" s="2061"/>
      <c r="M300" s="2074">
        <f ca="1">M298+M299</f>
        <v>33837289.64783068</v>
      </c>
      <c r="N300" s="2063"/>
      <c r="O300" s="2064"/>
      <c r="P300" s="1952"/>
      <c r="Q300" s="2025"/>
      <c r="R300" s="2025"/>
      <c r="S300" s="2025"/>
    </row>
    <row r="301" spans="1:19" s="474" customFormat="1" ht="75">
      <c r="A301" s="2248">
        <v>76</v>
      </c>
      <c r="B301" s="2266">
        <f>'Du toan XD'!B132</f>
        <v>4</v>
      </c>
      <c r="C301" s="2266" t="s">
        <v>1898</v>
      </c>
      <c r="D301" s="2266" t="s">
        <v>1921</v>
      </c>
      <c r="E301" s="2248" t="s">
        <v>1551</v>
      </c>
      <c r="F301" s="2248"/>
      <c r="G301" s="2267" t="str">
        <f>'Du toan XD'!F132</f>
        <v>Bê tông đá dăm sản xuất bằng máy trộn, đổ bằng thủ công, bê tông xà dầm, giằng nhà chiều cao ≤6m, đá 1x2, vữa bê tông XM PCB40 mác 200</v>
      </c>
      <c r="H301" s="2248" t="str">
        <f>'Du toan XD'!G132</f>
        <v>m³</v>
      </c>
      <c r="I301" s="2248">
        <f>'Du toan XD'!H132</f>
        <v>2.8466</v>
      </c>
      <c r="J301" s="2249"/>
      <c r="K301" s="2250"/>
      <c r="L301" s="2251"/>
      <c r="M301" s="2250"/>
      <c r="N301" s="2131"/>
      <c r="O301" s="2131"/>
      <c r="P301" s="1952">
        <f>M302</f>
        <v>758092</v>
      </c>
      <c r="Q301" s="2025"/>
      <c r="R301" s="2025">
        <f>M308</f>
        <v>557916</v>
      </c>
      <c r="S301" s="2025">
        <f>M310</f>
        <v>12474</v>
      </c>
    </row>
    <row r="302" spans="1:19" s="474" customFormat="1" ht="15">
      <c r="A302" s="2253"/>
      <c r="B302" s="2268"/>
      <c r="C302" s="2268"/>
      <c r="D302" s="2268"/>
      <c r="E302" s="2253"/>
      <c r="F302" s="2253"/>
      <c r="G302" s="2271" t="s">
        <v>224</v>
      </c>
      <c r="H302" s="2271"/>
      <c r="I302" s="2271"/>
      <c r="J302" s="2274"/>
      <c r="K302" s="2272"/>
      <c r="L302" s="2273"/>
      <c r="M302" s="2272">
        <f>ROUND(SUM(M303:M307),Config!C103)</f>
        <v>758092</v>
      </c>
      <c r="N302" s="2258"/>
      <c r="O302" s="2258"/>
      <c r="P302" s="1952"/>
      <c r="Q302" s="2025"/>
      <c r="R302" s="2025"/>
      <c r="S302" s="2025"/>
    </row>
    <row r="303" spans="1:19" s="474" customFormat="1" ht="15">
      <c r="A303" s="2253"/>
      <c r="B303" s="2268"/>
      <c r="C303" s="2268" t="s">
        <v>1898</v>
      </c>
      <c r="D303" s="2268"/>
      <c r="E303" s="2253"/>
      <c r="F303" s="2253" t="s">
        <v>1901</v>
      </c>
      <c r="G303" s="2269" t="s">
        <v>1902</v>
      </c>
      <c r="H303" s="2253" t="s">
        <v>1856</v>
      </c>
      <c r="I303" s="2253"/>
      <c r="J303" s="2254">
        <f>259*1.025</f>
        <v>265.47499999999997</v>
      </c>
      <c r="K303" s="2363">
        <f>'TH vat tu XD'!G71</f>
        <v>1380</v>
      </c>
      <c r="L303" s="2256"/>
      <c r="M303" s="2255">
        <f>IF(L303=0,J303*K303,J303*K303*L303)</f>
        <v>366355.49999999994</v>
      </c>
      <c r="N303" s="2258">
        <f>IF(L303=0,I301*J303,I301*J303*L303)</f>
        <v>755.70113499999991</v>
      </c>
      <c r="O303" s="2258">
        <f>J307%*N303</f>
        <v>7.5570113499999989</v>
      </c>
      <c r="P303" s="1952"/>
      <c r="Q303" s="2025"/>
      <c r="R303" s="2025"/>
      <c r="S303" s="2025"/>
    </row>
    <row r="304" spans="1:19" s="474" customFormat="1" ht="15">
      <c r="A304" s="2253"/>
      <c r="B304" s="2268"/>
      <c r="C304" s="2268" t="s">
        <v>1898</v>
      </c>
      <c r="D304" s="2268"/>
      <c r="E304" s="2253"/>
      <c r="F304" s="2253" t="s">
        <v>1903</v>
      </c>
      <c r="G304" s="2269" t="s">
        <v>1904</v>
      </c>
      <c r="H304" s="2253" t="s">
        <v>1848</v>
      </c>
      <c r="I304" s="2253"/>
      <c r="J304" s="2254">
        <f>0.528*1.025</f>
        <v>0.54120000000000001</v>
      </c>
      <c r="K304" s="2363">
        <f>'TH vat tu XD'!G59</f>
        <v>435000</v>
      </c>
      <c r="L304" s="2256"/>
      <c r="M304" s="2255">
        <f>IF(L304=0,J304*K304,J304*K304*L304)</f>
        <v>235422</v>
      </c>
      <c r="N304" s="2258">
        <f>IF(L304=0,I301*J304,I301*J304*L304)</f>
        <v>1.5405799200000001</v>
      </c>
      <c r="O304" s="2258">
        <f>J307%*N304</f>
        <v>1.5405799200000002E-2</v>
      </c>
      <c r="P304" s="1952"/>
      <c r="Q304" s="2025"/>
      <c r="R304" s="2025"/>
      <c r="S304" s="2025"/>
    </row>
    <row r="305" spans="1:19" s="474" customFormat="1" ht="15">
      <c r="A305" s="2253"/>
      <c r="B305" s="2268"/>
      <c r="C305" s="2268" t="s">
        <v>1898</v>
      </c>
      <c r="D305" s="2268"/>
      <c r="E305" s="2253"/>
      <c r="F305" s="2253" t="s">
        <v>1905</v>
      </c>
      <c r="G305" s="2269" t="s">
        <v>1906</v>
      </c>
      <c r="H305" s="2253" t="s">
        <v>1848</v>
      </c>
      <c r="I305" s="2253"/>
      <c r="J305" s="2254">
        <f>0.871*1.025</f>
        <v>0.89277499999999987</v>
      </c>
      <c r="K305" s="2363">
        <f>'TH vat tu XD'!G60</f>
        <v>165000</v>
      </c>
      <c r="L305" s="2256"/>
      <c r="M305" s="2255">
        <f>IF(L305=0,J305*K305,J305*K305*L305)</f>
        <v>147307.87499999997</v>
      </c>
      <c r="N305" s="2258">
        <f>IF(L305=0,I301*J305,I301*J305*L305)</f>
        <v>2.5413733149999995</v>
      </c>
      <c r="O305" s="2258">
        <f>J307%*N305</f>
        <v>2.5413733149999996E-2</v>
      </c>
      <c r="P305" s="1952"/>
      <c r="Q305" s="2025"/>
      <c r="R305" s="2025"/>
      <c r="S305" s="2025"/>
    </row>
    <row r="306" spans="1:19" s="474" customFormat="1" ht="15">
      <c r="A306" s="2253"/>
      <c r="B306" s="2268"/>
      <c r="C306" s="2268" t="s">
        <v>1898</v>
      </c>
      <c r="D306" s="2268"/>
      <c r="E306" s="2253"/>
      <c r="F306" s="2253" t="s">
        <v>1859</v>
      </c>
      <c r="G306" s="2269" t="s">
        <v>1860</v>
      </c>
      <c r="H306" s="2253" t="s">
        <v>1861</v>
      </c>
      <c r="I306" s="2253"/>
      <c r="J306" s="2254">
        <f>183*1.025</f>
        <v>187.57499999999999</v>
      </c>
      <c r="K306" s="2363">
        <f>'TH vat tu XD'!G66</f>
        <v>8</v>
      </c>
      <c r="L306" s="2256"/>
      <c r="M306" s="2255">
        <f>IF(L306=0,J306*K306,J306*K306*L306)</f>
        <v>1500.6</v>
      </c>
      <c r="N306" s="2258">
        <f>IF(L306=0,I301*J306,I301*J306*L306)</f>
        <v>533.95099499999992</v>
      </c>
      <c r="O306" s="2258">
        <f>J307%*N306</f>
        <v>5.3395099499999992</v>
      </c>
      <c r="P306" s="1952"/>
      <c r="Q306" s="2025"/>
      <c r="R306" s="2025"/>
      <c r="S306" s="2025"/>
    </row>
    <row r="307" spans="1:19" s="474" customFormat="1" ht="15">
      <c r="A307" s="2253"/>
      <c r="B307" s="2268"/>
      <c r="C307" s="2268"/>
      <c r="D307" s="2268"/>
      <c r="E307" s="2253"/>
      <c r="F307" s="2253" t="s">
        <v>1882</v>
      </c>
      <c r="G307" s="2269" t="s">
        <v>226</v>
      </c>
      <c r="H307" s="2253" t="s">
        <v>1850</v>
      </c>
      <c r="I307" s="2253"/>
      <c r="J307" s="2254">
        <v>1</v>
      </c>
      <c r="K307" s="2255"/>
      <c r="L307" s="2256"/>
      <c r="M307" s="2255">
        <f>SUM(M303:M306)*J307%</f>
        <v>7505.8597499999996</v>
      </c>
      <c r="N307" s="2258"/>
      <c r="O307" s="2258"/>
      <c r="P307" s="1952"/>
      <c r="Q307" s="2025"/>
      <c r="R307" s="2025"/>
      <c r="S307" s="2025"/>
    </row>
    <row r="308" spans="1:19" s="474" customFormat="1" ht="15">
      <c r="A308" s="2253"/>
      <c r="B308" s="2268"/>
      <c r="C308" s="2268"/>
      <c r="D308" s="2268"/>
      <c r="E308" s="2253"/>
      <c r="F308" s="2253"/>
      <c r="G308" s="2271" t="s">
        <v>225</v>
      </c>
      <c r="H308" s="2271"/>
      <c r="I308" s="2271"/>
      <c r="J308" s="2274"/>
      <c r="K308" s="2272"/>
      <c r="L308" s="2273"/>
      <c r="M308" s="2272">
        <f>ROUND(SUM(M309:M309),Config!C103)</f>
        <v>557916</v>
      </c>
      <c r="N308" s="2258"/>
      <c r="O308" s="2258"/>
      <c r="P308" s="1952"/>
      <c r="Q308" s="2025"/>
      <c r="R308" s="2025"/>
      <c r="S308" s="2025"/>
    </row>
    <row r="309" spans="1:19" s="474" customFormat="1" ht="15">
      <c r="A309" s="2253"/>
      <c r="B309" s="2268"/>
      <c r="C309" s="2268"/>
      <c r="D309" s="2268"/>
      <c r="E309" s="2253"/>
      <c r="F309" s="2253" t="s">
        <v>1907</v>
      </c>
      <c r="G309" s="2269" t="s">
        <v>1908</v>
      </c>
      <c r="H309" s="2253" t="s">
        <v>1833</v>
      </c>
      <c r="I309" s="2253"/>
      <c r="J309" s="2254">
        <v>2.67</v>
      </c>
      <c r="K309" s="2363">
        <f>'TH vat tu XD'!G75</f>
        <v>208957.23684210525</v>
      </c>
      <c r="L309" s="2256"/>
      <c r="M309" s="2255">
        <f>IF(L309=0,J309*K309,J309*K309*L309)</f>
        <v>557915.82236842101</v>
      </c>
      <c r="N309" s="2258">
        <f>IF(L309=0,I301*J309,I301*J309*L309)</f>
        <v>7.600422</v>
      </c>
      <c r="O309" s="2258"/>
      <c r="P309" s="1952"/>
      <c r="Q309" s="2025"/>
      <c r="R309" s="2025"/>
      <c r="S309" s="2025"/>
    </row>
    <row r="310" spans="1:19" s="474" customFormat="1" ht="15">
      <c r="A310" s="2253"/>
      <c r="B310" s="2268"/>
      <c r="C310" s="2268"/>
      <c r="D310" s="2268"/>
      <c r="E310" s="2253"/>
      <c r="F310" s="2253"/>
      <c r="G310" s="2271" t="s">
        <v>228</v>
      </c>
      <c r="H310" s="2271"/>
      <c r="I310" s="2271"/>
      <c r="J310" s="2274"/>
      <c r="K310" s="2272"/>
      <c r="L310" s="2273"/>
      <c r="M310" s="2272">
        <f>ROUND(SUM(M311:M312),Config!C103)</f>
        <v>12474</v>
      </c>
      <c r="N310" s="2258"/>
      <c r="O310" s="2258"/>
      <c r="P310" s="1952"/>
      <c r="Q310" s="2025"/>
      <c r="R310" s="2025"/>
      <c r="S310" s="2025"/>
    </row>
    <row r="311" spans="1:19" s="474" customFormat="1" ht="15">
      <c r="A311" s="2253"/>
      <c r="B311" s="2268"/>
      <c r="C311" s="2268"/>
      <c r="D311" s="2268"/>
      <c r="E311" s="2253"/>
      <c r="F311" s="2253" t="s">
        <v>1909</v>
      </c>
      <c r="G311" s="2269" t="s">
        <v>1910</v>
      </c>
      <c r="H311" s="2253" t="s">
        <v>1836</v>
      </c>
      <c r="I311" s="2253"/>
      <c r="J311" s="2254">
        <v>9.5000000000000001E-2</v>
      </c>
      <c r="K311" s="2363">
        <f>'TH vat tu XD'!G80</f>
        <v>74264</v>
      </c>
      <c r="L311" s="2256"/>
      <c r="M311" s="2255">
        <f>IF(L311=0,J311*K311,J311*K311*L311)</f>
        <v>7055.08</v>
      </c>
      <c r="N311" s="2258">
        <f>IF(L311=0,I301*J311,I301*J311*L311)</f>
        <v>0.27042700000000003</v>
      </c>
      <c r="O311" s="2258"/>
      <c r="P311" s="1952"/>
      <c r="Q311" s="2025"/>
      <c r="R311" s="2025"/>
      <c r="S311" s="2025"/>
    </row>
    <row r="312" spans="1:19" s="474" customFormat="1" ht="15">
      <c r="A312" s="2253"/>
      <c r="B312" s="2268"/>
      <c r="C312" s="2268"/>
      <c r="D312" s="2268"/>
      <c r="E312" s="2253"/>
      <c r="F312" s="2253" t="s">
        <v>1911</v>
      </c>
      <c r="G312" s="2269" t="s">
        <v>1912</v>
      </c>
      <c r="H312" s="2253" t="s">
        <v>1836</v>
      </c>
      <c r="I312" s="2253"/>
      <c r="J312" s="2254">
        <v>0.18</v>
      </c>
      <c r="K312" s="2363">
        <f>'TH vat tu XD'!G78</f>
        <v>30106</v>
      </c>
      <c r="L312" s="2256"/>
      <c r="M312" s="2255">
        <f>IF(L312=0,J312*K312,J312*K312*L312)</f>
        <v>5419.08</v>
      </c>
      <c r="N312" s="2258">
        <f>IF(L312=0,I301*J312,I301*J312*L312)</f>
        <v>0.51238799999999995</v>
      </c>
      <c r="O312" s="2258"/>
      <c r="P312" s="1952"/>
      <c r="Q312" s="2025"/>
      <c r="R312" s="2025"/>
      <c r="S312" s="2025"/>
    </row>
    <row r="313" spans="1:19" s="474" customFormat="1" ht="15" hidden="1">
      <c r="A313" s="2253"/>
      <c r="B313" s="2268"/>
      <c r="C313" s="2268"/>
      <c r="D313" s="2268"/>
      <c r="E313" s="2253"/>
      <c r="F313" s="2253"/>
      <c r="G313" s="2252" t="s">
        <v>109</v>
      </c>
      <c r="H313" s="2253"/>
      <c r="I313" s="2253"/>
      <c r="J313" s="2253" t="s">
        <v>333</v>
      </c>
      <c r="K313" s="2255"/>
      <c r="L313" s="2256"/>
      <c r="M313" s="2257">
        <f>M302+M308+M310</f>
        <v>1328482</v>
      </c>
      <c r="N313" s="2258"/>
      <c r="O313" s="2258"/>
      <c r="P313" s="1952"/>
      <c r="Q313" s="2025"/>
      <c r="R313" s="2025"/>
      <c r="S313" s="2025"/>
    </row>
    <row r="314" spans="1:19" s="474" customFormat="1" ht="15" hidden="1">
      <c r="A314" s="2253"/>
      <c r="B314" s="2268"/>
      <c r="C314" s="2268"/>
      <c r="D314" s="2268"/>
      <c r="E314" s="2253"/>
      <c r="F314" s="2253"/>
      <c r="G314" s="2252" t="s">
        <v>378</v>
      </c>
      <c r="H314" s="2253"/>
      <c r="I314" s="2253"/>
      <c r="J314" s="2253" t="str">
        <f ca="1">"T*"&amp;'THCP xay dung'!F77*100&amp;"%"</f>
        <v>T*6,2%</v>
      </c>
      <c r="K314" s="2255"/>
      <c r="L314" s="2256"/>
      <c r="M314" s="2257">
        <f ca="1">M313*'THCP xay dung'!F77*100%</f>
        <v>82365.884000000005</v>
      </c>
      <c r="N314" s="2258"/>
      <c r="O314" s="2258"/>
      <c r="P314" s="1952"/>
      <c r="Q314" s="2025"/>
      <c r="R314" s="2025"/>
      <c r="S314" s="2025"/>
    </row>
    <row r="315" spans="1:19" s="474" customFormat="1" ht="28.5" hidden="1">
      <c r="A315" s="2253"/>
      <c r="B315" s="2268"/>
      <c r="C315" s="2268"/>
      <c r="D315" s="2268"/>
      <c r="E315" s="2253"/>
      <c r="F315" s="2253"/>
      <c r="G315" s="2252" t="s">
        <v>702</v>
      </c>
      <c r="H315" s="2253"/>
      <c r="I315" s="2253"/>
      <c r="J315" s="2253" t="str">
        <f>IF('THCP xay dung'!G78&lt;&gt;1,"T*"&amp;'THCP xay dung'!F78*100&amp;"%"&amp;"*"&amp;'THCP xay dung'!G78,"T*"&amp;'THCP xay dung'!F78*100&amp;"%")</f>
        <v>T*1,1%</v>
      </c>
      <c r="K315" s="2255"/>
      <c r="L315" s="2256"/>
      <c r="M315" s="2257">
        <f>IF('THCP xay dung'!G78&lt;&gt;1,M313*'THCP xay dung'!F78*100%*'THCP xay dung'!G78,M313*'THCP xay dung'!F78*100%)</f>
        <v>14613.302000000001</v>
      </c>
      <c r="N315" s="2258"/>
      <c r="O315" s="2258"/>
      <c r="P315" s="1952"/>
      <c r="Q315" s="2025"/>
      <c r="R315" s="2025"/>
      <c r="S315" s="2025"/>
    </row>
    <row r="316" spans="1:19" s="474" customFormat="1" ht="42.75" hidden="1">
      <c r="A316" s="2253"/>
      <c r="B316" s="2268"/>
      <c r="C316" s="2268"/>
      <c r="D316" s="2268"/>
      <c r="E316" s="2253"/>
      <c r="F316" s="2253"/>
      <c r="G316" s="2252" t="s">
        <v>703</v>
      </c>
      <c r="H316" s="2253"/>
      <c r="I316" s="2253"/>
      <c r="J316" s="2253" t="str">
        <f ca="1">"T*"&amp;'THCP xay dung'!F79*100&amp;"%"</f>
        <v>T*2%</v>
      </c>
      <c r="K316" s="2255"/>
      <c r="L316" s="2256"/>
      <c r="M316" s="2257">
        <f ca="1">M313*'THCP xay dung'!F79*100%</f>
        <v>26569.64</v>
      </c>
      <c r="N316" s="2258"/>
      <c r="O316" s="2258"/>
      <c r="P316" s="1952"/>
      <c r="Q316" s="2025"/>
      <c r="R316" s="2025"/>
      <c r="S316" s="2025"/>
    </row>
    <row r="317" spans="1:19" s="474" customFormat="1" ht="15" hidden="1">
      <c r="A317" s="2253"/>
      <c r="B317" s="2268"/>
      <c r="C317" s="2268"/>
      <c r="D317" s="2268"/>
      <c r="E317" s="2253"/>
      <c r="F317" s="2253"/>
      <c r="G317" s="2252" t="s">
        <v>701</v>
      </c>
      <c r="H317" s="2253"/>
      <c r="I317" s="2253"/>
      <c r="J317" s="2253" t="s">
        <v>931</v>
      </c>
      <c r="K317" s="2255"/>
      <c r="L317" s="2256"/>
      <c r="M317" s="2257">
        <f ca="1">M314+M315+M316</f>
        <v>123548.826</v>
      </c>
      <c r="N317" s="2258"/>
      <c r="O317" s="2258"/>
      <c r="P317" s="1952"/>
      <c r="Q317" s="2025"/>
      <c r="R317" s="2025"/>
      <c r="S317" s="2025"/>
    </row>
    <row r="318" spans="1:19" s="474" customFormat="1" ht="15" hidden="1">
      <c r="A318" s="2253"/>
      <c r="B318" s="2268"/>
      <c r="C318" s="2268"/>
      <c r="D318" s="2268"/>
      <c r="E318" s="2253"/>
      <c r="F318" s="2253"/>
      <c r="G318" s="2252" t="s">
        <v>574</v>
      </c>
      <c r="H318" s="2253"/>
      <c r="I318" s="2253"/>
      <c r="J318" s="2253" t="str">
        <f ca="1">"(T+GT)*"&amp;'THCP xay dung'!F81*100&amp;"%"</f>
        <v>(T+GT)*6%</v>
      </c>
      <c r="K318" s="2255"/>
      <c r="L318" s="2256"/>
      <c r="M318" s="2257">
        <f ca="1">(M313+M317)*'THCP xay dung'!F81*100%</f>
        <v>87121.849559999988</v>
      </c>
      <c r="N318" s="2258"/>
      <c r="O318" s="2258"/>
      <c r="P318" s="1952"/>
      <c r="Q318" s="2025"/>
      <c r="R318" s="2025"/>
      <c r="S318" s="2025"/>
    </row>
    <row r="319" spans="1:19" s="474" customFormat="1" ht="15" hidden="1">
      <c r="A319" s="2253"/>
      <c r="B319" s="2268"/>
      <c r="C319" s="2268"/>
      <c r="D319" s="2268"/>
      <c r="E319" s="2253"/>
      <c r="F319" s="2253"/>
      <c r="G319" s="2252" t="s">
        <v>113</v>
      </c>
      <c r="H319" s="2253"/>
      <c r="I319" s="2253"/>
      <c r="J319" s="2253" t="s">
        <v>705</v>
      </c>
      <c r="K319" s="2255"/>
      <c r="L319" s="2256"/>
      <c r="M319" s="2257">
        <f ca="1">M313+M317+M318</f>
        <v>1539152.6755599999</v>
      </c>
      <c r="N319" s="2258"/>
      <c r="O319" s="2258"/>
      <c r="P319" s="1952"/>
      <c r="Q319" s="2025"/>
      <c r="R319" s="2025"/>
      <c r="S319" s="2025"/>
    </row>
    <row r="320" spans="1:19" s="474" customFormat="1" ht="15" hidden="1">
      <c r="A320" s="2253"/>
      <c r="B320" s="2268"/>
      <c r="C320" s="2268"/>
      <c r="D320" s="2268"/>
      <c r="E320" s="2253"/>
      <c r="F320" s="2253"/>
      <c r="G320" s="2252" t="s">
        <v>575</v>
      </c>
      <c r="H320" s="2253"/>
      <c r="I320" s="2253"/>
      <c r="J320" s="2253" t="str">
        <f>"G*"&amp;'THCP xay dung'!F83*100&amp;"%"</f>
        <v>G*10%</v>
      </c>
      <c r="K320" s="2255"/>
      <c r="L320" s="2256"/>
      <c r="M320" s="2257">
        <f ca="1">M319*'THCP xay dung'!F83*100%</f>
        <v>153915.26755600001</v>
      </c>
      <c r="N320" s="2258"/>
      <c r="O320" s="2258"/>
      <c r="P320" s="1952"/>
      <c r="Q320" s="2025"/>
      <c r="R320" s="2025"/>
      <c r="S320" s="2025"/>
    </row>
    <row r="321" spans="1:19" s="474" customFormat="1" ht="15" hidden="1">
      <c r="A321" s="2253"/>
      <c r="B321" s="2268"/>
      <c r="C321" s="2268"/>
      <c r="D321" s="2268"/>
      <c r="E321" s="2253"/>
      <c r="F321" s="2253"/>
      <c r="G321" s="2252" t="s">
        <v>117</v>
      </c>
      <c r="H321" s="2253"/>
      <c r="I321" s="2253"/>
      <c r="J321" s="2253" t="s">
        <v>596</v>
      </c>
      <c r="K321" s="2255"/>
      <c r="L321" s="2256"/>
      <c r="M321" s="2257">
        <f ca="1">M319+M320</f>
        <v>1693067.9431159999</v>
      </c>
      <c r="N321" s="2258"/>
      <c r="O321" s="2258"/>
      <c r="P321" s="1952"/>
      <c r="Q321" s="2025"/>
      <c r="R321" s="2025"/>
      <c r="S321" s="2025"/>
    </row>
    <row r="322" spans="1:19" s="474" customFormat="1" ht="15" hidden="1">
      <c r="A322" s="2253"/>
      <c r="B322" s="2268"/>
      <c r="C322" s="2268"/>
      <c r="D322" s="2268"/>
      <c r="E322" s="2253"/>
      <c r="F322" s="2253"/>
      <c r="G322" s="2252" t="s">
        <v>168</v>
      </c>
      <c r="H322" s="2253"/>
      <c r="I322" s="2253"/>
      <c r="J322" s="2253" t="str">
        <f ca="1">"GXD*"&amp;'THCP xay dung'!F85*100&amp;"%"</f>
        <v>GXD*6%</v>
      </c>
      <c r="K322" s="2255"/>
      <c r="L322" s="2256"/>
      <c r="M322" s="2257">
        <f ca="1">M321*'THCP xay dung'!F85*100%</f>
        <v>101584.07658695999</v>
      </c>
      <c r="N322" s="2258"/>
      <c r="O322" s="2258"/>
      <c r="P322" s="1952"/>
      <c r="Q322" s="2025"/>
      <c r="R322" s="2025"/>
      <c r="S322" s="2025"/>
    </row>
    <row r="323" spans="1:19" s="474" customFormat="1" ht="15" hidden="1">
      <c r="A323" s="2262" t="s">
        <v>304</v>
      </c>
      <c r="B323" s="2270"/>
      <c r="C323" s="2270"/>
      <c r="D323" s="2270"/>
      <c r="E323" s="2262"/>
      <c r="F323" s="2262"/>
      <c r="G323" s="2261" t="s">
        <v>1837</v>
      </c>
      <c r="H323" s="2262"/>
      <c r="I323" s="2262"/>
      <c r="J323" s="2262" t="s">
        <v>1636</v>
      </c>
      <c r="K323" s="2263"/>
      <c r="L323" s="2264"/>
      <c r="M323" s="2265">
        <f ca="1">M321+M322</f>
        <v>1794652.0197029598</v>
      </c>
      <c r="N323" s="2064"/>
      <c r="O323" s="2064"/>
      <c r="P323" s="1952"/>
      <c r="Q323" s="2025"/>
      <c r="R323" s="2025"/>
      <c r="S323" s="2025"/>
    </row>
    <row r="324" spans="1:19" s="474" customFormat="1" ht="60">
      <c r="A324" s="2124">
        <v>77</v>
      </c>
      <c r="B324" s="2125">
        <f>'Du toan XD'!B144</f>
        <v>5</v>
      </c>
      <c r="C324" s="2125"/>
      <c r="D324" s="2125" t="s">
        <v>1552</v>
      </c>
      <c r="E324" s="2126" t="s">
        <v>1552</v>
      </c>
      <c r="F324" s="2126"/>
      <c r="G324" s="2132" t="str">
        <f>'Du toan XD'!F144</f>
        <v>Gia công, lắp dựng tháo dỡ ván khuôn cho bê tông đổ tại chỗ, ván khuôn gỗ lanh tô, lanh tô liền mái hắt, máng nước, tấm đan</v>
      </c>
      <c r="H324" s="2126" t="str">
        <f>'Du toan XD'!G144</f>
        <v>100m²</v>
      </c>
      <c r="I324" s="2126">
        <f>'Du toan XD'!H144</f>
        <v>0.1376</v>
      </c>
      <c r="J324" s="2127"/>
      <c r="K324" s="2128"/>
      <c r="L324" s="2129"/>
      <c r="M324" s="2128"/>
      <c r="N324" s="2130"/>
      <c r="O324" s="2131"/>
      <c r="P324" s="1952">
        <f>M325</f>
        <v>5090804</v>
      </c>
      <c r="Q324" s="2025"/>
      <c r="R324" s="2025">
        <f>M331</f>
        <v>6505395</v>
      </c>
      <c r="S324" s="2025"/>
    </row>
    <row r="325" spans="1:19" s="474" customFormat="1" ht="15">
      <c r="A325" s="2050"/>
      <c r="B325" s="2051"/>
      <c r="C325" s="2051"/>
      <c r="D325" s="2051"/>
      <c r="E325" s="2052"/>
      <c r="F325" s="2052"/>
      <c r="G325" s="2067" t="s">
        <v>224</v>
      </c>
      <c r="H325" s="2067"/>
      <c r="I325" s="2067"/>
      <c r="J325" s="2134"/>
      <c r="K325" s="2069"/>
      <c r="L325" s="2070"/>
      <c r="M325" s="2069">
        <f>ROUND(SUM(M326:M330),Config!C103)</f>
        <v>5090804</v>
      </c>
      <c r="N325" s="2056"/>
      <c r="O325" s="2057"/>
      <c r="P325" s="1952"/>
      <c r="Q325" s="2025"/>
      <c r="R325" s="2025"/>
      <c r="S325" s="2025"/>
    </row>
    <row r="326" spans="1:19" s="474" customFormat="1" ht="15">
      <c r="A326" s="2050"/>
      <c r="B326" s="2051"/>
      <c r="C326" s="2051"/>
      <c r="D326" s="2051"/>
      <c r="E326" s="2052"/>
      <c r="F326" s="2052" t="s">
        <v>1874</v>
      </c>
      <c r="G326" s="2053" t="s">
        <v>1875</v>
      </c>
      <c r="H326" s="2052" t="s">
        <v>1848</v>
      </c>
      <c r="I326" s="2052"/>
      <c r="J326" s="2073">
        <v>0.79400000000000004</v>
      </c>
      <c r="K326" s="2170">
        <f>'TH vat tu XD'!G65</f>
        <v>3100000</v>
      </c>
      <c r="L326" s="2054"/>
      <c r="M326" s="2055">
        <f>IF(L326=0,J326*K326,J326*K326*L326)</f>
        <v>2461400</v>
      </c>
      <c r="N326" s="2056">
        <f>IF(L326=0,I324*J326,I324*J326*L326)</f>
        <v>0.1092544</v>
      </c>
      <c r="O326" s="2057">
        <f>J330%*N326</f>
        <v>1.092544E-3</v>
      </c>
      <c r="P326" s="1952"/>
      <c r="Q326" s="2025"/>
      <c r="R326" s="2025"/>
      <c r="S326" s="2025"/>
    </row>
    <row r="327" spans="1:19" s="474" customFormat="1" ht="15">
      <c r="A327" s="2050"/>
      <c r="B327" s="2051"/>
      <c r="C327" s="2051"/>
      <c r="D327" s="2051"/>
      <c r="E327" s="2052"/>
      <c r="F327" s="2052" t="s">
        <v>1876</v>
      </c>
      <c r="G327" s="2053" t="s">
        <v>1877</v>
      </c>
      <c r="H327" s="2052" t="s">
        <v>1848</v>
      </c>
      <c r="I327" s="2052"/>
      <c r="J327" s="2073">
        <v>0.112</v>
      </c>
      <c r="K327" s="2170">
        <f>'TH vat tu XD'!G64</f>
        <v>3100000</v>
      </c>
      <c r="L327" s="2054"/>
      <c r="M327" s="2055">
        <f>IF(L327=0,J327*K327,J327*K327*L327)</f>
        <v>347200</v>
      </c>
      <c r="N327" s="2056">
        <f>IF(L327=0,I324*J327,I324*J327*L327)</f>
        <v>1.54112E-2</v>
      </c>
      <c r="O327" s="2057">
        <f>J330%*N327</f>
        <v>1.54112E-4</v>
      </c>
      <c r="P327" s="1952"/>
      <c r="Q327" s="2025"/>
      <c r="R327" s="2025"/>
      <c r="S327" s="2025"/>
    </row>
    <row r="328" spans="1:19" s="474" customFormat="1" ht="15">
      <c r="A328" s="2050"/>
      <c r="B328" s="2051"/>
      <c r="C328" s="2051"/>
      <c r="D328" s="2051"/>
      <c r="E328" s="2052"/>
      <c r="F328" s="2052" t="s">
        <v>1878</v>
      </c>
      <c r="G328" s="2053" t="s">
        <v>1879</v>
      </c>
      <c r="H328" s="2052" t="s">
        <v>1848</v>
      </c>
      <c r="I328" s="2052"/>
      <c r="J328" s="2073">
        <v>0.66800000000000004</v>
      </c>
      <c r="K328" s="2170">
        <f>'TH vat tu XD'!G63</f>
        <v>3100000</v>
      </c>
      <c r="L328" s="2054"/>
      <c r="M328" s="2055">
        <f>IF(L328=0,J328*K328,J328*K328*L328)</f>
        <v>2070800.0000000002</v>
      </c>
      <c r="N328" s="2056">
        <f>IF(L328=0,I324*J328,I324*J328*L328)</f>
        <v>9.1916800000000007E-2</v>
      </c>
      <c r="O328" s="2057">
        <f>J330%*N328</f>
        <v>9.1916800000000005E-4</v>
      </c>
      <c r="P328" s="1952"/>
      <c r="Q328" s="2025"/>
      <c r="R328" s="2025"/>
      <c r="S328" s="2025"/>
    </row>
    <row r="329" spans="1:19" s="474" customFormat="1" ht="15">
      <c r="A329" s="2050"/>
      <c r="B329" s="2051"/>
      <c r="C329" s="2051"/>
      <c r="D329" s="2051"/>
      <c r="E329" s="2052"/>
      <c r="F329" s="2052" t="s">
        <v>1880</v>
      </c>
      <c r="G329" s="2053" t="s">
        <v>1881</v>
      </c>
      <c r="H329" s="2052" t="s">
        <v>1856</v>
      </c>
      <c r="I329" s="2052"/>
      <c r="J329" s="2073">
        <v>8.0500000000000007</v>
      </c>
      <c r="K329" s="2170">
        <f>'TH vat tu XD'!G61</f>
        <v>20000</v>
      </c>
      <c r="L329" s="2054"/>
      <c r="M329" s="2055">
        <f>IF(L329=0,J329*K329,J329*K329*L329)</f>
        <v>161000</v>
      </c>
      <c r="N329" s="2056">
        <f>IF(L329=0,I324*J329,I324*J329*L329)</f>
        <v>1.10768</v>
      </c>
      <c r="O329" s="2057">
        <f>J330%*N329</f>
        <v>1.1076799999999999E-2</v>
      </c>
      <c r="P329" s="1952"/>
      <c r="Q329" s="2025"/>
      <c r="R329" s="2025"/>
      <c r="S329" s="2025"/>
    </row>
    <row r="330" spans="1:19" s="474" customFormat="1" ht="15">
      <c r="A330" s="2050"/>
      <c r="B330" s="2051"/>
      <c r="C330" s="2051"/>
      <c r="D330" s="2051"/>
      <c r="E330" s="2052"/>
      <c r="F330" s="2052" t="s">
        <v>1882</v>
      </c>
      <c r="G330" s="2053" t="s">
        <v>226</v>
      </c>
      <c r="H330" s="2052" t="s">
        <v>1850</v>
      </c>
      <c r="I330" s="2052"/>
      <c r="J330" s="2073">
        <v>1</v>
      </c>
      <c r="K330" s="2055"/>
      <c r="L330" s="2054"/>
      <c r="M330" s="2055">
        <f>SUM(M326:M329)*J330%</f>
        <v>50404</v>
      </c>
      <c r="N330" s="2056"/>
      <c r="O330" s="2057"/>
      <c r="P330" s="1952"/>
      <c r="Q330" s="2025"/>
      <c r="R330" s="2025"/>
      <c r="S330" s="2025"/>
    </row>
    <row r="331" spans="1:19" s="474" customFormat="1" ht="15">
      <c r="A331" s="2050"/>
      <c r="B331" s="2051"/>
      <c r="C331" s="2051"/>
      <c r="D331" s="2051"/>
      <c r="E331" s="2052"/>
      <c r="F331" s="2052"/>
      <c r="G331" s="2067" t="s">
        <v>225</v>
      </c>
      <c r="H331" s="2067"/>
      <c r="I331" s="2067"/>
      <c r="J331" s="2134"/>
      <c r="K331" s="2069"/>
      <c r="L331" s="2070"/>
      <c r="M331" s="2069">
        <f>ROUND(SUM(M332:M332),Config!C103)</f>
        <v>6505395</v>
      </c>
      <c r="N331" s="2056"/>
      <c r="O331" s="2057"/>
      <c r="P331" s="1952"/>
      <c r="Q331" s="2025"/>
      <c r="R331" s="2025"/>
      <c r="S331" s="2025"/>
    </row>
    <row r="332" spans="1:19" s="474" customFormat="1" ht="15">
      <c r="A332" s="2050"/>
      <c r="B332" s="2051"/>
      <c r="C332" s="2051"/>
      <c r="D332" s="2051"/>
      <c r="E332" s="2052"/>
      <c r="F332" s="2052" t="s">
        <v>1866</v>
      </c>
      <c r="G332" s="2053" t="s">
        <v>1867</v>
      </c>
      <c r="H332" s="2052" t="s">
        <v>1833</v>
      </c>
      <c r="I332" s="2052"/>
      <c r="J332" s="2073">
        <v>28.47</v>
      </c>
      <c r="K332" s="2170">
        <f>'TH vat tu XD'!G74</f>
        <v>228500</v>
      </c>
      <c r="L332" s="2054"/>
      <c r="M332" s="2055">
        <f>IF(L332=0,J332*K332,J332*K332*L332)</f>
        <v>6505395</v>
      </c>
      <c r="N332" s="2056">
        <f>IF(L332=0,I324*J332,I324*J332*L332)</f>
        <v>3.9174720000000001</v>
      </c>
      <c r="O332" s="2057"/>
      <c r="P332" s="1952"/>
      <c r="Q332" s="2025"/>
      <c r="R332" s="2025"/>
      <c r="S332" s="2025"/>
    </row>
    <row r="333" spans="1:19" s="474" customFormat="1" ht="15" hidden="1">
      <c r="A333" s="2050"/>
      <c r="B333" s="2051"/>
      <c r="C333" s="2051"/>
      <c r="D333" s="2051"/>
      <c r="E333" s="2052"/>
      <c r="F333" s="2052"/>
      <c r="G333" s="2065" t="s">
        <v>109</v>
      </c>
      <c r="H333" s="2052"/>
      <c r="I333" s="2052"/>
      <c r="J333" s="2052" t="s">
        <v>333</v>
      </c>
      <c r="K333" s="2055"/>
      <c r="L333" s="2054"/>
      <c r="M333" s="2066">
        <f>M325+M331+0</f>
        <v>11596199</v>
      </c>
      <c r="N333" s="2056"/>
      <c r="O333" s="2057"/>
      <c r="P333" s="1952"/>
      <c r="Q333" s="2025"/>
      <c r="R333" s="2025"/>
      <c r="S333" s="2025"/>
    </row>
    <row r="334" spans="1:19" s="474" customFormat="1" ht="15" hidden="1">
      <c r="A334" s="2050"/>
      <c r="B334" s="2051"/>
      <c r="C334" s="2051"/>
      <c r="D334" s="2051"/>
      <c r="E334" s="2052"/>
      <c r="F334" s="2052"/>
      <c r="G334" s="2065" t="s">
        <v>378</v>
      </c>
      <c r="H334" s="2052"/>
      <c r="I334" s="2052"/>
      <c r="J334" s="2052" t="str">
        <f ca="1">"T*"&amp;'THCP xay dung'!F77*100&amp;"%"</f>
        <v>T*6,2%</v>
      </c>
      <c r="K334" s="2055"/>
      <c r="L334" s="2054"/>
      <c r="M334" s="2066">
        <f ca="1">M333*'THCP xay dung'!F77*100%</f>
        <v>718964.33799999999</v>
      </c>
      <c r="N334" s="2056"/>
      <c r="O334" s="2057"/>
      <c r="P334" s="1952"/>
      <c r="Q334" s="2025"/>
      <c r="R334" s="2025"/>
      <c r="S334" s="2025"/>
    </row>
    <row r="335" spans="1:19" s="474" customFormat="1" ht="28.5" hidden="1">
      <c r="A335" s="2050"/>
      <c r="B335" s="2051"/>
      <c r="C335" s="2051"/>
      <c r="D335" s="2051"/>
      <c r="E335" s="2052"/>
      <c r="F335" s="2052"/>
      <c r="G335" s="2065" t="s">
        <v>702</v>
      </c>
      <c r="H335" s="2052"/>
      <c r="I335" s="2052"/>
      <c r="J335" s="2052" t="str">
        <f>IF('THCP xay dung'!G78&lt;&gt;1,"T*"&amp;'THCP xay dung'!F78*100&amp;"%"&amp;"*"&amp;'THCP xay dung'!G78,"T*"&amp;'THCP xay dung'!F78*100&amp;"%")</f>
        <v>T*1,1%</v>
      </c>
      <c r="K335" s="2055"/>
      <c r="L335" s="2054"/>
      <c r="M335" s="2066">
        <f>IF('THCP xay dung'!G78&lt;&gt;1,M333*'THCP xay dung'!F78*100%*'THCP xay dung'!G78,M333*'THCP xay dung'!F78*100%)</f>
        <v>127558.18900000001</v>
      </c>
      <c r="N335" s="2056"/>
      <c r="O335" s="2057"/>
      <c r="P335" s="1952"/>
      <c r="Q335" s="2025"/>
      <c r="R335" s="2025"/>
      <c r="S335" s="2025"/>
    </row>
    <row r="336" spans="1:19" s="474" customFormat="1" ht="42.75" hidden="1">
      <c r="A336" s="2050"/>
      <c r="B336" s="2051"/>
      <c r="C336" s="2051"/>
      <c r="D336" s="2051"/>
      <c r="E336" s="2052"/>
      <c r="F336" s="2052"/>
      <c r="G336" s="2065" t="s">
        <v>703</v>
      </c>
      <c r="H336" s="2052"/>
      <c r="I336" s="2052"/>
      <c r="J336" s="2052" t="str">
        <f ca="1">"T*"&amp;'THCP xay dung'!F79*100&amp;"%"</f>
        <v>T*2%</v>
      </c>
      <c r="K336" s="2055"/>
      <c r="L336" s="2054"/>
      <c r="M336" s="2066">
        <f ca="1">M333*'THCP xay dung'!F79*100%</f>
        <v>231923.98</v>
      </c>
      <c r="N336" s="2056"/>
      <c r="O336" s="2057"/>
      <c r="P336" s="1952"/>
      <c r="Q336" s="2025"/>
      <c r="R336" s="2025"/>
      <c r="S336" s="2025"/>
    </row>
    <row r="337" spans="1:19" s="474" customFormat="1" ht="15" hidden="1">
      <c r="A337" s="2050"/>
      <c r="B337" s="2051"/>
      <c r="C337" s="2051"/>
      <c r="D337" s="2051"/>
      <c r="E337" s="2052"/>
      <c r="F337" s="2052"/>
      <c r="G337" s="2065" t="s">
        <v>701</v>
      </c>
      <c r="H337" s="2052"/>
      <c r="I337" s="2052"/>
      <c r="J337" s="2052" t="s">
        <v>931</v>
      </c>
      <c r="K337" s="2055"/>
      <c r="L337" s="2054"/>
      <c r="M337" s="2066">
        <f ca="1">M334+M335+M336</f>
        <v>1078446.507</v>
      </c>
      <c r="N337" s="2056"/>
      <c r="O337" s="2057"/>
      <c r="P337" s="1952"/>
      <c r="Q337" s="2025"/>
      <c r="R337" s="2025"/>
      <c r="S337" s="2025"/>
    </row>
    <row r="338" spans="1:19" s="474" customFormat="1" ht="15" hidden="1">
      <c r="A338" s="2050"/>
      <c r="B338" s="2051"/>
      <c r="C338" s="2051"/>
      <c r="D338" s="2051"/>
      <c r="E338" s="2052"/>
      <c r="F338" s="2052"/>
      <c r="G338" s="2065" t="s">
        <v>574</v>
      </c>
      <c r="H338" s="2052"/>
      <c r="I338" s="2052"/>
      <c r="J338" s="2052" t="str">
        <f ca="1">"(T+GT)*"&amp;'THCP xay dung'!F81*100&amp;"%"</f>
        <v>(T+GT)*6%</v>
      </c>
      <c r="K338" s="2055"/>
      <c r="L338" s="2054"/>
      <c r="M338" s="2066">
        <f ca="1">(M333+M337)*'THCP xay dung'!F81*100%</f>
        <v>760478.73041999992</v>
      </c>
      <c r="N338" s="2056"/>
      <c r="O338" s="2057"/>
      <c r="P338" s="1952"/>
      <c r="Q338" s="2025"/>
      <c r="R338" s="2025"/>
      <c r="S338" s="2025"/>
    </row>
    <row r="339" spans="1:19" s="474" customFormat="1" ht="15" hidden="1">
      <c r="A339" s="2050"/>
      <c r="B339" s="2051"/>
      <c r="C339" s="2051"/>
      <c r="D339" s="2051"/>
      <c r="E339" s="2052"/>
      <c r="F339" s="2052"/>
      <c r="G339" s="2065" t="s">
        <v>113</v>
      </c>
      <c r="H339" s="2052"/>
      <c r="I339" s="2052"/>
      <c r="J339" s="2052" t="s">
        <v>705</v>
      </c>
      <c r="K339" s="2055"/>
      <c r="L339" s="2054"/>
      <c r="M339" s="2066">
        <f ca="1">M333+M337+M338</f>
        <v>13435124.23742</v>
      </c>
      <c r="N339" s="2056"/>
      <c r="O339" s="2057"/>
      <c r="P339" s="1952"/>
      <c r="Q339" s="2025"/>
      <c r="R339" s="2025"/>
      <c r="S339" s="2025"/>
    </row>
    <row r="340" spans="1:19" s="474" customFormat="1" ht="15" hidden="1">
      <c r="A340" s="2050"/>
      <c r="B340" s="2051"/>
      <c r="C340" s="2051"/>
      <c r="D340" s="2051"/>
      <c r="E340" s="2052"/>
      <c r="F340" s="2052"/>
      <c r="G340" s="2065" t="s">
        <v>575</v>
      </c>
      <c r="H340" s="2052"/>
      <c r="I340" s="2052"/>
      <c r="J340" s="2052" t="str">
        <f>"G*"&amp;'THCP xay dung'!F83*100&amp;"%"</f>
        <v>G*10%</v>
      </c>
      <c r="K340" s="2055"/>
      <c r="L340" s="2054"/>
      <c r="M340" s="2066">
        <f ca="1">M339*'THCP xay dung'!F83*100%</f>
        <v>1343512.423742</v>
      </c>
      <c r="N340" s="2056"/>
      <c r="O340" s="2057"/>
      <c r="P340" s="1952"/>
      <c r="Q340" s="2025"/>
      <c r="R340" s="2025"/>
      <c r="S340" s="2025"/>
    </row>
    <row r="341" spans="1:19" s="474" customFormat="1" ht="15" hidden="1">
      <c r="A341" s="2050"/>
      <c r="B341" s="2051"/>
      <c r="C341" s="2051"/>
      <c r="D341" s="2051"/>
      <c r="E341" s="2052"/>
      <c r="F341" s="2052"/>
      <c r="G341" s="2065" t="s">
        <v>117</v>
      </c>
      <c r="H341" s="2052"/>
      <c r="I341" s="2052"/>
      <c r="J341" s="2052" t="s">
        <v>596</v>
      </c>
      <c r="K341" s="2055"/>
      <c r="L341" s="2054"/>
      <c r="M341" s="2066">
        <f ca="1">M339+M340</f>
        <v>14778636.661162</v>
      </c>
      <c r="N341" s="2056"/>
      <c r="O341" s="2057"/>
      <c r="P341" s="1952"/>
      <c r="Q341" s="2025"/>
      <c r="R341" s="2025"/>
      <c r="S341" s="2025"/>
    </row>
    <row r="342" spans="1:19" s="474" customFormat="1" ht="15" hidden="1">
      <c r="A342" s="2050"/>
      <c r="B342" s="2051"/>
      <c r="C342" s="2051"/>
      <c r="D342" s="2051"/>
      <c r="E342" s="2052"/>
      <c r="F342" s="2052"/>
      <c r="G342" s="2065" t="s">
        <v>168</v>
      </c>
      <c r="H342" s="2052"/>
      <c r="I342" s="2052"/>
      <c r="J342" s="2052" t="str">
        <f ca="1">"GXD*"&amp;'THCP xay dung'!F85*100&amp;"%"</f>
        <v>GXD*6%</v>
      </c>
      <c r="K342" s="2055"/>
      <c r="L342" s="2054"/>
      <c r="M342" s="2066">
        <f ca="1">M341*'THCP xay dung'!F85*100%</f>
        <v>886718.19966972002</v>
      </c>
      <c r="N342" s="2056"/>
      <c r="O342" s="2057"/>
      <c r="P342" s="1952"/>
      <c r="Q342" s="2025"/>
      <c r="R342" s="2025"/>
      <c r="S342" s="2025"/>
    </row>
    <row r="343" spans="1:19" s="474" customFormat="1" ht="15" hidden="1">
      <c r="A343" s="2090" t="s">
        <v>304</v>
      </c>
      <c r="B343" s="2091"/>
      <c r="C343" s="2091"/>
      <c r="D343" s="2091"/>
      <c r="E343" s="2092"/>
      <c r="F343" s="2092"/>
      <c r="G343" s="2075" t="s">
        <v>1837</v>
      </c>
      <c r="H343" s="2060"/>
      <c r="I343" s="2060"/>
      <c r="J343" s="2060" t="s">
        <v>1636</v>
      </c>
      <c r="K343" s="2062"/>
      <c r="L343" s="2061"/>
      <c r="M343" s="2074">
        <f ca="1">M341+M342</f>
        <v>15665354.860831721</v>
      </c>
      <c r="N343" s="2063"/>
      <c r="O343" s="2064"/>
      <c r="P343" s="1952"/>
      <c r="Q343" s="2025"/>
      <c r="R343" s="2025"/>
      <c r="S343" s="2025"/>
    </row>
    <row r="344" spans="1:19" s="474" customFormat="1" ht="45">
      <c r="A344" s="2093">
        <v>78</v>
      </c>
      <c r="B344" s="2094">
        <f>'Du toan XD'!B156</f>
        <v>6</v>
      </c>
      <c r="C344" s="2094"/>
      <c r="D344" s="2094" t="s">
        <v>1553</v>
      </c>
      <c r="E344" s="2093" t="s">
        <v>1553</v>
      </c>
      <c r="F344" s="2093"/>
      <c r="G344" s="2114" t="str">
        <f>'Du toan XD'!F156</f>
        <v>Gia cố, lắp dựng cốt thép lanh tô liền mái hắt, máng nước, đường kính ≤10mm, chiều cao ≤6m</v>
      </c>
      <c r="H344" s="2093" t="str">
        <f>'Du toan XD'!G156</f>
        <v>tấn</v>
      </c>
      <c r="I344" s="2093">
        <f>'Du toan XD'!H156</f>
        <v>4.1099999999999998E-2</v>
      </c>
      <c r="J344" s="2095"/>
      <c r="K344" s="2096"/>
      <c r="L344" s="2097"/>
      <c r="M344" s="2096"/>
      <c r="N344" s="2098"/>
      <c r="O344" s="2098"/>
      <c r="P344" s="1952">
        <f>M345</f>
        <v>22644390</v>
      </c>
      <c r="Q344" s="2025"/>
      <c r="R344" s="2025">
        <f>M348</f>
        <v>4218110</v>
      </c>
      <c r="S344" s="2025">
        <f>M350</f>
        <v>13870</v>
      </c>
    </row>
    <row r="345" spans="1:19" s="474" customFormat="1" ht="15">
      <c r="A345" s="2099"/>
      <c r="B345" s="2100"/>
      <c r="C345" s="2100"/>
      <c r="D345" s="2100"/>
      <c r="E345" s="2099"/>
      <c r="F345" s="2099"/>
      <c r="G345" s="2116" t="s">
        <v>224</v>
      </c>
      <c r="H345" s="2116"/>
      <c r="I345" s="2116"/>
      <c r="J345" s="2120"/>
      <c r="K345" s="2118"/>
      <c r="L345" s="2119"/>
      <c r="M345" s="2118">
        <f>ROUND(SUM(M346:M347),Config!C103)</f>
        <v>22644390</v>
      </c>
      <c r="N345" s="2106"/>
      <c r="O345" s="2106"/>
      <c r="P345" s="1952"/>
      <c r="Q345" s="2025"/>
      <c r="R345" s="2025"/>
      <c r="S345" s="2025"/>
    </row>
    <row r="346" spans="1:19" s="474" customFormat="1" ht="15">
      <c r="A346" s="2099"/>
      <c r="B346" s="2100"/>
      <c r="C346" s="2100"/>
      <c r="D346" s="2100"/>
      <c r="E346" s="2099"/>
      <c r="F346" s="2099" t="s">
        <v>1885</v>
      </c>
      <c r="G346" s="2115" t="s">
        <v>1886</v>
      </c>
      <c r="H346" s="2099" t="s">
        <v>1856</v>
      </c>
      <c r="I346" s="2099"/>
      <c r="J346" s="2102">
        <v>1005</v>
      </c>
      <c r="K346" s="2171">
        <f>'TH vat tu XD'!G69</f>
        <v>22100</v>
      </c>
      <c r="L346" s="2104"/>
      <c r="M346" s="2103">
        <f>IF(L346=0,J346*K346,J346*K346*L346)</f>
        <v>22210500</v>
      </c>
      <c r="N346" s="2106">
        <f>IF(L346=0,I344*J346,I344*J346*L346)</f>
        <v>41.305499999999995</v>
      </c>
      <c r="O346" s="2106"/>
      <c r="P346" s="1952"/>
      <c r="Q346" s="2025"/>
      <c r="R346" s="2025"/>
      <c r="S346" s="2025"/>
    </row>
    <row r="347" spans="1:19" s="474" customFormat="1" ht="15">
      <c r="A347" s="2099"/>
      <c r="B347" s="2100"/>
      <c r="C347" s="2100"/>
      <c r="D347" s="2100"/>
      <c r="E347" s="2099"/>
      <c r="F347" s="2099" t="s">
        <v>1887</v>
      </c>
      <c r="G347" s="2115" t="s">
        <v>1888</v>
      </c>
      <c r="H347" s="2099" t="s">
        <v>1856</v>
      </c>
      <c r="I347" s="2099"/>
      <c r="J347" s="2102">
        <v>16.07</v>
      </c>
      <c r="K347" s="2171">
        <f>'TH vat tu XD'!G62</f>
        <v>27000</v>
      </c>
      <c r="L347" s="2104"/>
      <c r="M347" s="2103">
        <f>IF(L347=0,J347*K347,J347*K347*L347)</f>
        <v>433890</v>
      </c>
      <c r="N347" s="2106">
        <f>IF(L347=0,I344*J347,I344*J347*L347)</f>
        <v>0.66047699999999998</v>
      </c>
      <c r="O347" s="2106"/>
      <c r="P347" s="1952"/>
      <c r="Q347" s="2025"/>
      <c r="R347" s="2025"/>
      <c r="S347" s="2025"/>
    </row>
    <row r="348" spans="1:19" s="474" customFormat="1" ht="15">
      <c r="A348" s="2099"/>
      <c r="B348" s="2100"/>
      <c r="C348" s="2100"/>
      <c r="D348" s="2100"/>
      <c r="E348" s="2099"/>
      <c r="F348" s="2099"/>
      <c r="G348" s="2116" t="s">
        <v>225</v>
      </c>
      <c r="H348" s="2116"/>
      <c r="I348" s="2116"/>
      <c r="J348" s="2120"/>
      <c r="K348" s="2118"/>
      <c r="L348" s="2119"/>
      <c r="M348" s="2118">
        <f>ROUND(SUM(M349:M349),Config!C103)</f>
        <v>4218110</v>
      </c>
      <c r="N348" s="2106"/>
      <c r="O348" s="2106"/>
      <c r="P348" s="1952"/>
      <c r="Q348" s="2025"/>
      <c r="R348" s="2025"/>
      <c r="S348" s="2025"/>
    </row>
    <row r="349" spans="1:19" s="474" customFormat="1" ht="15">
      <c r="A349" s="2099"/>
      <c r="B349" s="2100"/>
      <c r="C349" s="2100"/>
      <c r="D349" s="2100"/>
      <c r="E349" s="2099"/>
      <c r="F349" s="2099" t="s">
        <v>1866</v>
      </c>
      <c r="G349" s="2115" t="s">
        <v>1867</v>
      </c>
      <c r="H349" s="2099" t="s">
        <v>1833</v>
      </c>
      <c r="I349" s="2099"/>
      <c r="J349" s="2102">
        <v>18.46</v>
      </c>
      <c r="K349" s="2171">
        <f>'TH vat tu XD'!G74</f>
        <v>228500</v>
      </c>
      <c r="L349" s="2104"/>
      <c r="M349" s="2103">
        <f>IF(L349=0,J349*K349,J349*K349*L349)</f>
        <v>4218110</v>
      </c>
      <c r="N349" s="2106">
        <f>IF(L349=0,I344*J349,I344*J349*L349)</f>
        <v>0.75870599999999999</v>
      </c>
      <c r="O349" s="2106"/>
      <c r="P349" s="1952"/>
      <c r="Q349" s="2025"/>
      <c r="R349" s="2025"/>
      <c r="S349" s="2025"/>
    </row>
    <row r="350" spans="1:19" s="474" customFormat="1" ht="15">
      <c r="A350" s="2099"/>
      <c r="B350" s="2100"/>
      <c r="C350" s="2100"/>
      <c r="D350" s="2100"/>
      <c r="E350" s="2099"/>
      <c r="F350" s="2099"/>
      <c r="G350" s="2116" t="s">
        <v>228</v>
      </c>
      <c r="H350" s="2116"/>
      <c r="I350" s="2116"/>
      <c r="J350" s="2120"/>
      <c r="K350" s="2118"/>
      <c r="L350" s="2119"/>
      <c r="M350" s="2118">
        <f>ROUND(SUM(M351:M351),Config!C103)</f>
        <v>13870</v>
      </c>
      <c r="N350" s="2106"/>
      <c r="O350" s="2106"/>
      <c r="P350" s="1952"/>
      <c r="Q350" s="2025"/>
      <c r="R350" s="2025"/>
      <c r="S350" s="2025"/>
    </row>
    <row r="351" spans="1:19" s="474" customFormat="1" ht="15">
      <c r="A351" s="2099"/>
      <c r="B351" s="2100"/>
      <c r="C351" s="2100"/>
      <c r="D351" s="2100"/>
      <c r="E351" s="2099"/>
      <c r="F351" s="2099" t="s">
        <v>1889</v>
      </c>
      <c r="G351" s="2115" t="s">
        <v>1890</v>
      </c>
      <c r="H351" s="2099" t="s">
        <v>1836</v>
      </c>
      <c r="I351" s="2099"/>
      <c r="J351" s="2102">
        <v>0.4</v>
      </c>
      <c r="K351" s="2171">
        <f>'TH vat tu XD'!G77</f>
        <v>34676</v>
      </c>
      <c r="L351" s="2104"/>
      <c r="M351" s="2103">
        <f>IF(L351=0,J351*K351,J351*K351*L351)</f>
        <v>13870.400000000001</v>
      </c>
      <c r="N351" s="2106">
        <f>IF(L351=0,I344*J351,I344*J351*L351)</f>
        <v>1.644E-2</v>
      </c>
      <c r="O351" s="2106"/>
      <c r="P351" s="1952"/>
      <c r="Q351" s="2025"/>
      <c r="R351" s="2025"/>
      <c r="S351" s="2025"/>
    </row>
    <row r="352" spans="1:19" s="474" customFormat="1" ht="15" hidden="1">
      <c r="A352" s="2099"/>
      <c r="B352" s="2100"/>
      <c r="C352" s="2100"/>
      <c r="D352" s="2100"/>
      <c r="E352" s="2099"/>
      <c r="F352" s="2099"/>
      <c r="G352" s="2101" t="s">
        <v>109</v>
      </c>
      <c r="H352" s="2099"/>
      <c r="I352" s="2099"/>
      <c r="J352" s="2099" t="s">
        <v>333</v>
      </c>
      <c r="K352" s="2103"/>
      <c r="L352" s="2104"/>
      <c r="M352" s="2105">
        <f>M345+M348+M350</f>
        <v>26876370</v>
      </c>
      <c r="N352" s="2106"/>
      <c r="O352" s="2106"/>
      <c r="P352" s="1952"/>
      <c r="Q352" s="2025"/>
      <c r="R352" s="2025"/>
      <c r="S352" s="2025"/>
    </row>
    <row r="353" spans="1:19" s="474" customFormat="1" ht="15" hidden="1">
      <c r="A353" s="2099"/>
      <c r="B353" s="2100"/>
      <c r="C353" s="2100"/>
      <c r="D353" s="2100"/>
      <c r="E353" s="2099"/>
      <c r="F353" s="2099"/>
      <c r="G353" s="2101" t="s">
        <v>378</v>
      </c>
      <c r="H353" s="2099"/>
      <c r="I353" s="2099"/>
      <c r="J353" s="2099" t="str">
        <f ca="1">"T*"&amp;'THCP xay dung'!F77*100&amp;"%"</f>
        <v>T*6,2%</v>
      </c>
      <c r="K353" s="2103"/>
      <c r="L353" s="2104"/>
      <c r="M353" s="2105">
        <f ca="1">M352*'THCP xay dung'!F77*100%</f>
        <v>1666334.94</v>
      </c>
      <c r="N353" s="2106"/>
      <c r="O353" s="2106"/>
      <c r="P353" s="1952"/>
      <c r="Q353" s="2025"/>
      <c r="R353" s="2025"/>
      <c r="S353" s="2025"/>
    </row>
    <row r="354" spans="1:19" s="474" customFormat="1" ht="28.5" hidden="1">
      <c r="A354" s="2099"/>
      <c r="B354" s="2100"/>
      <c r="C354" s="2100"/>
      <c r="D354" s="2100"/>
      <c r="E354" s="2099"/>
      <c r="F354" s="2099"/>
      <c r="G354" s="2101" t="s">
        <v>702</v>
      </c>
      <c r="H354" s="2099"/>
      <c r="I354" s="2099"/>
      <c r="J354" s="2099" t="str">
        <f>IF('THCP xay dung'!G78&lt;&gt;1,"T*"&amp;'THCP xay dung'!F78*100&amp;"%"&amp;"*"&amp;'THCP xay dung'!G78,"T*"&amp;'THCP xay dung'!F78*100&amp;"%")</f>
        <v>T*1,1%</v>
      </c>
      <c r="K354" s="2103"/>
      <c r="L354" s="2104"/>
      <c r="M354" s="2105">
        <f>IF('THCP xay dung'!G78&lt;&gt;1,M352*'THCP xay dung'!F78*100%*'THCP xay dung'!G78,M352*'THCP xay dung'!F78*100%)</f>
        <v>295640.07</v>
      </c>
      <c r="N354" s="2106"/>
      <c r="O354" s="2106"/>
      <c r="P354" s="1952"/>
      <c r="Q354" s="2025"/>
      <c r="R354" s="2025"/>
      <c r="S354" s="2025"/>
    </row>
    <row r="355" spans="1:19" s="474" customFormat="1" ht="42.75" hidden="1">
      <c r="A355" s="2099"/>
      <c r="B355" s="2100"/>
      <c r="C355" s="2100"/>
      <c r="D355" s="2100"/>
      <c r="E355" s="2099"/>
      <c r="F355" s="2099"/>
      <c r="G355" s="2101" t="s">
        <v>703</v>
      </c>
      <c r="H355" s="2099"/>
      <c r="I355" s="2099"/>
      <c r="J355" s="2099" t="str">
        <f ca="1">"T*"&amp;'THCP xay dung'!F79*100&amp;"%"</f>
        <v>T*2%</v>
      </c>
      <c r="K355" s="2103"/>
      <c r="L355" s="2104"/>
      <c r="M355" s="2105">
        <f ca="1">M352*'THCP xay dung'!F79*100%</f>
        <v>537527.4</v>
      </c>
      <c r="N355" s="2106"/>
      <c r="O355" s="2106"/>
      <c r="P355" s="1952"/>
      <c r="Q355" s="2025"/>
      <c r="R355" s="2025"/>
      <c r="S355" s="2025"/>
    </row>
    <row r="356" spans="1:19" s="474" customFormat="1" ht="15" hidden="1">
      <c r="A356" s="2099"/>
      <c r="B356" s="2100"/>
      <c r="C356" s="2100"/>
      <c r="D356" s="2100"/>
      <c r="E356" s="2099"/>
      <c r="F356" s="2099"/>
      <c r="G356" s="2101" t="s">
        <v>701</v>
      </c>
      <c r="H356" s="2099"/>
      <c r="I356" s="2099"/>
      <c r="J356" s="2099" t="s">
        <v>931</v>
      </c>
      <c r="K356" s="2103"/>
      <c r="L356" s="2104"/>
      <c r="M356" s="2105">
        <f ca="1">M353+M354+M355</f>
        <v>2499502.41</v>
      </c>
      <c r="N356" s="2106"/>
      <c r="O356" s="2106"/>
      <c r="P356" s="1952"/>
      <c r="Q356" s="2025"/>
      <c r="R356" s="2025"/>
      <c r="S356" s="2025"/>
    </row>
    <row r="357" spans="1:19" s="474" customFormat="1" ht="15" hidden="1">
      <c r="A357" s="2099"/>
      <c r="B357" s="2100"/>
      <c r="C357" s="2100"/>
      <c r="D357" s="2100"/>
      <c r="E357" s="2099"/>
      <c r="F357" s="2099"/>
      <c r="G357" s="2101" t="s">
        <v>574</v>
      </c>
      <c r="H357" s="2099"/>
      <c r="I357" s="2099"/>
      <c r="J357" s="2099" t="str">
        <f ca="1">"(T+GT)*"&amp;'THCP xay dung'!F81*100&amp;"%"</f>
        <v>(T+GT)*6%</v>
      </c>
      <c r="K357" s="2103"/>
      <c r="L357" s="2104"/>
      <c r="M357" s="2105">
        <f ca="1">(M352+M356)*'THCP xay dung'!F81*100%</f>
        <v>1762552.3446</v>
      </c>
      <c r="N357" s="2106"/>
      <c r="O357" s="2106"/>
      <c r="P357" s="1952"/>
      <c r="Q357" s="2025"/>
      <c r="R357" s="2025"/>
      <c r="S357" s="2025"/>
    </row>
    <row r="358" spans="1:19" s="474" customFormat="1" ht="15" hidden="1">
      <c r="A358" s="2099"/>
      <c r="B358" s="2100"/>
      <c r="C358" s="2100"/>
      <c r="D358" s="2100"/>
      <c r="E358" s="2099"/>
      <c r="F358" s="2099"/>
      <c r="G358" s="2101" t="s">
        <v>113</v>
      </c>
      <c r="H358" s="2099"/>
      <c r="I358" s="2099"/>
      <c r="J358" s="2099" t="s">
        <v>705</v>
      </c>
      <c r="K358" s="2103"/>
      <c r="L358" s="2104"/>
      <c r="M358" s="2105">
        <f ca="1">M352+M356+M357</f>
        <v>31138424.7546</v>
      </c>
      <c r="N358" s="2106"/>
      <c r="O358" s="2106"/>
      <c r="P358" s="1952"/>
      <c r="Q358" s="2025"/>
      <c r="R358" s="2025"/>
      <c r="S358" s="2025"/>
    </row>
    <row r="359" spans="1:19" s="474" customFormat="1" ht="15" hidden="1">
      <c r="A359" s="2099"/>
      <c r="B359" s="2100"/>
      <c r="C359" s="2100"/>
      <c r="D359" s="2100"/>
      <c r="E359" s="2099"/>
      <c r="F359" s="2099"/>
      <c r="G359" s="2101" t="s">
        <v>575</v>
      </c>
      <c r="H359" s="2099"/>
      <c r="I359" s="2099"/>
      <c r="J359" s="2099" t="str">
        <f>"G*"&amp;'THCP xay dung'!F83*100&amp;"%"</f>
        <v>G*10%</v>
      </c>
      <c r="K359" s="2103"/>
      <c r="L359" s="2104"/>
      <c r="M359" s="2105">
        <f ca="1">M358*'THCP xay dung'!F83*100%</f>
        <v>3113842.4754600003</v>
      </c>
      <c r="N359" s="2106"/>
      <c r="O359" s="2106"/>
      <c r="P359" s="1952"/>
      <c r="Q359" s="2025"/>
      <c r="R359" s="2025"/>
      <c r="S359" s="2025"/>
    </row>
    <row r="360" spans="1:19" s="474" customFormat="1" ht="15" hidden="1">
      <c r="A360" s="2099"/>
      <c r="B360" s="2100"/>
      <c r="C360" s="2100"/>
      <c r="D360" s="2100"/>
      <c r="E360" s="2099"/>
      <c r="F360" s="2099"/>
      <c r="G360" s="2101" t="s">
        <v>117</v>
      </c>
      <c r="H360" s="2099"/>
      <c r="I360" s="2099"/>
      <c r="J360" s="2099" t="s">
        <v>596</v>
      </c>
      <c r="K360" s="2103"/>
      <c r="L360" s="2104"/>
      <c r="M360" s="2105">
        <f ca="1">M358+M359</f>
        <v>34252267.230059996</v>
      </c>
      <c r="N360" s="2106"/>
      <c r="O360" s="2106"/>
      <c r="P360" s="1952"/>
      <c r="Q360" s="2025"/>
      <c r="R360" s="2025"/>
      <c r="S360" s="2025"/>
    </row>
    <row r="361" spans="1:19" s="474" customFormat="1" ht="15" hidden="1">
      <c r="A361" s="2099"/>
      <c r="B361" s="2100"/>
      <c r="C361" s="2100"/>
      <c r="D361" s="2100"/>
      <c r="E361" s="2099"/>
      <c r="F361" s="2099"/>
      <c r="G361" s="2101" t="s">
        <v>168</v>
      </c>
      <c r="H361" s="2099"/>
      <c r="I361" s="2099"/>
      <c r="J361" s="2099" t="str">
        <f ca="1">"GXD*"&amp;'THCP xay dung'!F85*100&amp;"%"</f>
        <v>GXD*6%</v>
      </c>
      <c r="K361" s="2103"/>
      <c r="L361" s="2104"/>
      <c r="M361" s="2105">
        <f ca="1">M360*'THCP xay dung'!F85*100%</f>
        <v>2055136.0338035997</v>
      </c>
      <c r="N361" s="2106"/>
      <c r="O361" s="2106"/>
      <c r="P361" s="1952"/>
      <c r="Q361" s="2025"/>
      <c r="R361" s="2025"/>
      <c r="S361" s="2025"/>
    </row>
    <row r="362" spans="1:19" s="474" customFormat="1" ht="15" hidden="1">
      <c r="A362" s="2122" t="s">
        <v>304</v>
      </c>
      <c r="B362" s="2123"/>
      <c r="C362" s="2123"/>
      <c r="D362" s="2123"/>
      <c r="E362" s="2122"/>
      <c r="F362" s="2122"/>
      <c r="G362" s="2109" t="s">
        <v>1837</v>
      </c>
      <c r="H362" s="2107"/>
      <c r="I362" s="2107"/>
      <c r="J362" s="2107" t="s">
        <v>1636</v>
      </c>
      <c r="K362" s="2110"/>
      <c r="L362" s="2111"/>
      <c r="M362" s="2112">
        <f ca="1">M360+M361</f>
        <v>36307403.263863593</v>
      </c>
      <c r="N362" s="2113"/>
      <c r="O362" s="2113"/>
      <c r="P362" s="1952"/>
      <c r="Q362" s="2025"/>
      <c r="R362" s="2025"/>
      <c r="S362" s="2025"/>
    </row>
    <row r="363" spans="1:19" s="474" customFormat="1" ht="45">
      <c r="A363" s="2124">
        <v>79</v>
      </c>
      <c r="B363" s="2125">
        <f>'Du toan XD'!B160</f>
        <v>7</v>
      </c>
      <c r="C363" s="2125"/>
      <c r="D363" s="2125" t="s">
        <v>1554</v>
      </c>
      <c r="E363" s="2126" t="s">
        <v>1554</v>
      </c>
      <c r="F363" s="2126"/>
      <c r="G363" s="2132" t="str">
        <f>'Du toan XD'!F160</f>
        <v>Gia cố, lắp dựng cốt thép lanh tô liền mái hắt, máng nước, đường kính &gt;10mm, chiều cao ≤6m</v>
      </c>
      <c r="H363" s="2126" t="str">
        <f>'Du toan XD'!G160</f>
        <v>tấn</v>
      </c>
      <c r="I363" s="2126">
        <f>'Du toan XD'!H160</f>
        <v>7.2300000000000003E-2</v>
      </c>
      <c r="J363" s="2127"/>
      <c r="K363" s="2128"/>
      <c r="L363" s="2129"/>
      <c r="M363" s="2128"/>
      <c r="N363" s="2130"/>
      <c r="O363" s="2131"/>
      <c r="P363" s="1952">
        <f>M364</f>
        <v>22889517</v>
      </c>
      <c r="Q363" s="2025"/>
      <c r="R363" s="2025">
        <f>M368</f>
        <v>3582880</v>
      </c>
      <c r="S363" s="2025">
        <f>M370</f>
        <v>146079</v>
      </c>
    </row>
    <row r="364" spans="1:19" s="474" customFormat="1" ht="15">
      <c r="A364" s="2050"/>
      <c r="B364" s="2051"/>
      <c r="C364" s="2051"/>
      <c r="D364" s="2051"/>
      <c r="E364" s="2052"/>
      <c r="F364" s="2052"/>
      <c r="G364" s="2067" t="s">
        <v>224</v>
      </c>
      <c r="H364" s="2067"/>
      <c r="I364" s="2067"/>
      <c r="J364" s="2134"/>
      <c r="K364" s="2069"/>
      <c r="L364" s="2070"/>
      <c r="M364" s="2069">
        <f>ROUND(SUM(M365:M367),Config!C103)</f>
        <v>22889517</v>
      </c>
      <c r="N364" s="2056"/>
      <c r="O364" s="2057"/>
      <c r="P364" s="1952"/>
      <c r="Q364" s="2025"/>
      <c r="R364" s="2025"/>
      <c r="S364" s="2025"/>
    </row>
    <row r="365" spans="1:19" s="474" customFormat="1" ht="15">
      <c r="A365" s="2050"/>
      <c r="B365" s="2051"/>
      <c r="C365" s="2051"/>
      <c r="D365" s="2051"/>
      <c r="E365" s="2052"/>
      <c r="F365" s="2052" t="s">
        <v>1926</v>
      </c>
      <c r="G365" s="2053" t="s">
        <v>1927</v>
      </c>
      <c r="H365" s="2052" t="s">
        <v>1856</v>
      </c>
      <c r="I365" s="2052"/>
      <c r="J365" s="2073">
        <v>1020</v>
      </c>
      <c r="K365" s="2170">
        <f>'TH vat tu XD'!G68</f>
        <v>22100</v>
      </c>
      <c r="L365" s="2054"/>
      <c r="M365" s="2055">
        <f>IF(L365=0,J365*K365,J365*K365*L365)</f>
        <v>22542000</v>
      </c>
      <c r="N365" s="2056">
        <f>IF(L365=0,I363*J365,I363*J365*L365)</f>
        <v>73.746000000000009</v>
      </c>
      <c r="O365" s="2057"/>
      <c r="P365" s="1952"/>
      <c r="Q365" s="2025"/>
      <c r="R365" s="2025"/>
      <c r="S365" s="2025"/>
    </row>
    <row r="366" spans="1:19" s="474" customFormat="1" ht="15">
      <c r="A366" s="2050"/>
      <c r="B366" s="2051"/>
      <c r="C366" s="2051"/>
      <c r="D366" s="2051"/>
      <c r="E366" s="2052"/>
      <c r="F366" s="2052" t="s">
        <v>1887</v>
      </c>
      <c r="G366" s="2053" t="s">
        <v>1888</v>
      </c>
      <c r="H366" s="2052" t="s">
        <v>1856</v>
      </c>
      <c r="I366" s="2052"/>
      <c r="J366" s="2073">
        <v>9.2799999999999994</v>
      </c>
      <c r="K366" s="2170">
        <f>'TH vat tu XD'!G62</f>
        <v>27000</v>
      </c>
      <c r="L366" s="2054"/>
      <c r="M366" s="2055">
        <f>IF(L366=0,J366*K366,J366*K366*L366)</f>
        <v>250559.99999999997</v>
      </c>
      <c r="N366" s="2056">
        <f>IF(L366=0,I363*J366,I363*J366*L366)</f>
        <v>0.67094399999999998</v>
      </c>
      <c r="O366" s="2057"/>
      <c r="P366" s="1952"/>
      <c r="Q366" s="2025"/>
      <c r="R366" s="2025"/>
      <c r="S366" s="2025"/>
    </row>
    <row r="367" spans="1:19" s="474" customFormat="1" ht="15">
      <c r="A367" s="2050"/>
      <c r="B367" s="2051"/>
      <c r="C367" s="2051"/>
      <c r="D367" s="2051"/>
      <c r="E367" s="2052"/>
      <c r="F367" s="2052" t="s">
        <v>1894</v>
      </c>
      <c r="G367" s="2053" t="s">
        <v>1895</v>
      </c>
      <c r="H367" s="2052" t="s">
        <v>1856</v>
      </c>
      <c r="I367" s="2052"/>
      <c r="J367" s="2073">
        <v>4.617</v>
      </c>
      <c r="K367" s="2170">
        <f>'TH vat tu XD'!G67</f>
        <v>21000</v>
      </c>
      <c r="L367" s="2054"/>
      <c r="M367" s="2055">
        <f>IF(L367=0,J367*K367,J367*K367*L367)</f>
        <v>96957</v>
      </c>
      <c r="N367" s="2056">
        <f>IF(L367=0,I363*J367,I363*J367*L367)</f>
        <v>0.33380910000000003</v>
      </c>
      <c r="O367" s="2057"/>
      <c r="P367" s="1952"/>
      <c r="Q367" s="2025"/>
      <c r="R367" s="2025"/>
      <c r="S367" s="2025"/>
    </row>
    <row r="368" spans="1:19" s="474" customFormat="1" ht="15">
      <c r="A368" s="2050"/>
      <c r="B368" s="2051"/>
      <c r="C368" s="2051"/>
      <c r="D368" s="2051"/>
      <c r="E368" s="2052"/>
      <c r="F368" s="2052"/>
      <c r="G368" s="2067" t="s">
        <v>225</v>
      </c>
      <c r="H368" s="2067"/>
      <c r="I368" s="2067"/>
      <c r="J368" s="2134"/>
      <c r="K368" s="2069"/>
      <c r="L368" s="2070"/>
      <c r="M368" s="2069">
        <f>ROUND(SUM(M369:M369),Config!C103)</f>
        <v>3582880</v>
      </c>
      <c r="N368" s="2056"/>
      <c r="O368" s="2057"/>
      <c r="P368" s="1952"/>
      <c r="Q368" s="2025"/>
      <c r="R368" s="2025"/>
      <c r="S368" s="2025"/>
    </row>
    <row r="369" spans="1:19" s="474" customFormat="1" ht="15">
      <c r="A369" s="2050"/>
      <c r="B369" s="2051"/>
      <c r="C369" s="2051"/>
      <c r="D369" s="2051"/>
      <c r="E369" s="2052"/>
      <c r="F369" s="2052" t="s">
        <v>1866</v>
      </c>
      <c r="G369" s="2053" t="s">
        <v>1867</v>
      </c>
      <c r="H369" s="2052" t="s">
        <v>1833</v>
      </c>
      <c r="I369" s="2052"/>
      <c r="J369" s="2073">
        <v>15.68</v>
      </c>
      <c r="K369" s="2170">
        <f>'TH vat tu XD'!G74</f>
        <v>228500</v>
      </c>
      <c r="L369" s="2054"/>
      <c r="M369" s="2055">
        <f>IF(L369=0,J369*K369,J369*K369*L369)</f>
        <v>3582880</v>
      </c>
      <c r="N369" s="2056">
        <f>IF(L369=0,I363*J369,I363*J369*L369)</f>
        <v>1.133664</v>
      </c>
      <c r="O369" s="2057"/>
      <c r="P369" s="1952"/>
      <c r="Q369" s="2025"/>
      <c r="R369" s="2025"/>
      <c r="S369" s="2025"/>
    </row>
    <row r="370" spans="1:19" s="474" customFormat="1" ht="15">
      <c r="A370" s="2050"/>
      <c r="B370" s="2051"/>
      <c r="C370" s="2051"/>
      <c r="D370" s="2051"/>
      <c r="E370" s="2052"/>
      <c r="F370" s="2052"/>
      <c r="G370" s="2067" t="s">
        <v>228</v>
      </c>
      <c r="H370" s="2067"/>
      <c r="I370" s="2067"/>
      <c r="J370" s="2134"/>
      <c r="K370" s="2069"/>
      <c r="L370" s="2070"/>
      <c r="M370" s="2069">
        <f>ROUND(SUM(M371:M372),Config!C103)</f>
        <v>146079</v>
      </c>
      <c r="N370" s="2056"/>
      <c r="O370" s="2057"/>
      <c r="P370" s="1952"/>
      <c r="Q370" s="2025"/>
      <c r="R370" s="2025"/>
      <c r="S370" s="2025"/>
    </row>
    <row r="371" spans="1:19" s="474" customFormat="1" ht="15">
      <c r="A371" s="2050"/>
      <c r="B371" s="2051"/>
      <c r="C371" s="2051"/>
      <c r="D371" s="2051"/>
      <c r="E371" s="2052"/>
      <c r="F371" s="2052" t="s">
        <v>1896</v>
      </c>
      <c r="G371" s="2053" t="s">
        <v>1897</v>
      </c>
      <c r="H371" s="2052" t="s">
        <v>1836</v>
      </c>
      <c r="I371" s="2052"/>
      <c r="J371" s="2073">
        <v>1.123</v>
      </c>
      <c r="K371" s="2170">
        <f>'TH vat tu XD'!G79</f>
        <v>120198</v>
      </c>
      <c r="L371" s="2054"/>
      <c r="M371" s="2055">
        <f>IF(L371=0,J371*K371,J371*K371*L371)</f>
        <v>134982.35399999999</v>
      </c>
      <c r="N371" s="2056">
        <f>IF(L371=0,I363*J371,I363*J371*L371)</f>
        <v>8.1192899999999998E-2</v>
      </c>
      <c r="O371" s="2057"/>
      <c r="P371" s="1952"/>
      <c r="Q371" s="2025"/>
      <c r="R371" s="2025"/>
      <c r="S371" s="2025"/>
    </row>
    <row r="372" spans="1:19" s="474" customFormat="1" ht="15">
      <c r="A372" s="2050"/>
      <c r="B372" s="2051"/>
      <c r="C372" s="2051"/>
      <c r="D372" s="2051"/>
      <c r="E372" s="2052"/>
      <c r="F372" s="2052" t="s">
        <v>1889</v>
      </c>
      <c r="G372" s="2053" t="s">
        <v>1890</v>
      </c>
      <c r="H372" s="2052" t="s">
        <v>1836</v>
      </c>
      <c r="I372" s="2052"/>
      <c r="J372" s="2073">
        <v>0.32</v>
      </c>
      <c r="K372" s="2170">
        <f>'TH vat tu XD'!G77</f>
        <v>34676</v>
      </c>
      <c r="L372" s="2054"/>
      <c r="M372" s="2055">
        <f>IF(L372=0,J372*K372,J372*K372*L372)</f>
        <v>11096.32</v>
      </c>
      <c r="N372" s="2056">
        <f>IF(L372=0,I363*J372,I363*J372*L372)</f>
        <v>2.3136E-2</v>
      </c>
      <c r="O372" s="2057"/>
      <c r="P372" s="1952"/>
      <c r="Q372" s="2025"/>
      <c r="R372" s="2025"/>
      <c r="S372" s="2025"/>
    </row>
    <row r="373" spans="1:19" s="474" customFormat="1" ht="15" hidden="1">
      <c r="A373" s="2050"/>
      <c r="B373" s="2051"/>
      <c r="C373" s="2051"/>
      <c r="D373" s="2051"/>
      <c r="E373" s="2052"/>
      <c r="F373" s="2052"/>
      <c r="G373" s="2065" t="s">
        <v>109</v>
      </c>
      <c r="H373" s="2052"/>
      <c r="I373" s="2052"/>
      <c r="J373" s="2052" t="s">
        <v>333</v>
      </c>
      <c r="K373" s="2055"/>
      <c r="L373" s="2054"/>
      <c r="M373" s="2066">
        <f>M364+M368+M370</f>
        <v>26618476</v>
      </c>
      <c r="N373" s="2056"/>
      <c r="O373" s="2057"/>
      <c r="P373" s="1952"/>
      <c r="Q373" s="2025"/>
      <c r="R373" s="2025"/>
      <c r="S373" s="2025"/>
    </row>
    <row r="374" spans="1:19" s="474" customFormat="1" ht="15" hidden="1">
      <c r="A374" s="2050"/>
      <c r="B374" s="2051"/>
      <c r="C374" s="2051"/>
      <c r="D374" s="2051"/>
      <c r="E374" s="2052"/>
      <c r="F374" s="2052"/>
      <c r="G374" s="2065" t="s">
        <v>378</v>
      </c>
      <c r="H374" s="2052"/>
      <c r="I374" s="2052"/>
      <c r="J374" s="2052" t="str">
        <f ca="1">"T*"&amp;'THCP xay dung'!F77*100&amp;"%"</f>
        <v>T*6,2%</v>
      </c>
      <c r="K374" s="2055"/>
      <c r="L374" s="2054"/>
      <c r="M374" s="2066">
        <f ca="1">M373*'THCP xay dung'!F77*100%</f>
        <v>1650345.5120000001</v>
      </c>
      <c r="N374" s="2056"/>
      <c r="O374" s="2057"/>
      <c r="P374" s="1952"/>
      <c r="Q374" s="2025"/>
      <c r="R374" s="2025"/>
      <c r="S374" s="2025"/>
    </row>
    <row r="375" spans="1:19" s="474" customFormat="1" ht="28.5" hidden="1">
      <c r="A375" s="2050"/>
      <c r="B375" s="2051"/>
      <c r="C375" s="2051"/>
      <c r="D375" s="2051"/>
      <c r="E375" s="2052"/>
      <c r="F375" s="2052"/>
      <c r="G375" s="2065" t="s">
        <v>702</v>
      </c>
      <c r="H375" s="2052"/>
      <c r="I375" s="2052"/>
      <c r="J375" s="2052" t="str">
        <f>IF('THCP xay dung'!G78&lt;&gt;1,"T*"&amp;'THCP xay dung'!F78*100&amp;"%"&amp;"*"&amp;'THCP xay dung'!G78,"T*"&amp;'THCP xay dung'!F78*100&amp;"%")</f>
        <v>T*1,1%</v>
      </c>
      <c r="K375" s="2055"/>
      <c r="L375" s="2054"/>
      <c r="M375" s="2066">
        <f>IF('THCP xay dung'!G78&lt;&gt;1,M373*'THCP xay dung'!F78*100%*'THCP xay dung'!G78,M373*'THCP xay dung'!F78*100%)</f>
        <v>292803.23600000003</v>
      </c>
      <c r="N375" s="2056"/>
      <c r="O375" s="2057"/>
      <c r="P375" s="1952"/>
      <c r="Q375" s="2025"/>
      <c r="R375" s="2025"/>
      <c r="S375" s="2025"/>
    </row>
    <row r="376" spans="1:19" s="474" customFormat="1" ht="42.75" hidden="1">
      <c r="A376" s="2050"/>
      <c r="B376" s="2051"/>
      <c r="C376" s="2051"/>
      <c r="D376" s="2051"/>
      <c r="E376" s="2052"/>
      <c r="F376" s="2052"/>
      <c r="G376" s="2065" t="s">
        <v>703</v>
      </c>
      <c r="H376" s="2052"/>
      <c r="I376" s="2052"/>
      <c r="J376" s="2052" t="str">
        <f ca="1">"T*"&amp;'THCP xay dung'!F79*100&amp;"%"</f>
        <v>T*2%</v>
      </c>
      <c r="K376" s="2055"/>
      <c r="L376" s="2054"/>
      <c r="M376" s="2066">
        <f ca="1">M373*'THCP xay dung'!F79*100%</f>
        <v>532369.52</v>
      </c>
      <c r="N376" s="2056"/>
      <c r="O376" s="2057"/>
      <c r="P376" s="1952"/>
      <c r="Q376" s="2025"/>
      <c r="R376" s="2025"/>
      <c r="S376" s="2025"/>
    </row>
    <row r="377" spans="1:19" s="474" customFormat="1" ht="15" hidden="1">
      <c r="A377" s="2050"/>
      <c r="B377" s="2051"/>
      <c r="C377" s="2051"/>
      <c r="D377" s="2051"/>
      <c r="E377" s="2052"/>
      <c r="F377" s="2052"/>
      <c r="G377" s="2065" t="s">
        <v>701</v>
      </c>
      <c r="H377" s="2052"/>
      <c r="I377" s="2052"/>
      <c r="J377" s="2052" t="s">
        <v>931</v>
      </c>
      <c r="K377" s="2055"/>
      <c r="L377" s="2054"/>
      <c r="M377" s="2066">
        <f ca="1">M374+M375+M376</f>
        <v>2475518.2680000002</v>
      </c>
      <c r="N377" s="2056"/>
      <c r="O377" s="2057"/>
      <c r="P377" s="1952"/>
      <c r="Q377" s="2025"/>
      <c r="R377" s="2025"/>
      <c r="S377" s="2025"/>
    </row>
    <row r="378" spans="1:19" s="474" customFormat="1" ht="15" hidden="1">
      <c r="A378" s="2050"/>
      <c r="B378" s="2051"/>
      <c r="C378" s="2051"/>
      <c r="D378" s="2051"/>
      <c r="E378" s="2052"/>
      <c r="F378" s="2052"/>
      <c r="G378" s="2065" t="s">
        <v>574</v>
      </c>
      <c r="H378" s="2052"/>
      <c r="I378" s="2052"/>
      <c r="J378" s="2052" t="str">
        <f ca="1">"(T+GT)*"&amp;'THCP xay dung'!F81*100&amp;"%"</f>
        <v>(T+GT)*6%</v>
      </c>
      <c r="K378" s="2055"/>
      <c r="L378" s="2054"/>
      <c r="M378" s="2066">
        <f ca="1">(M373+M377)*'THCP xay dung'!F81*100%</f>
        <v>1745639.6560799999</v>
      </c>
      <c r="N378" s="2056"/>
      <c r="O378" s="2057"/>
      <c r="P378" s="1952"/>
      <c r="Q378" s="2025"/>
      <c r="R378" s="2025"/>
      <c r="S378" s="2025"/>
    </row>
    <row r="379" spans="1:19" s="474" customFormat="1" ht="15" hidden="1">
      <c r="A379" s="2050"/>
      <c r="B379" s="2051"/>
      <c r="C379" s="2051"/>
      <c r="D379" s="2051"/>
      <c r="E379" s="2052"/>
      <c r="F379" s="2052"/>
      <c r="G379" s="2065" t="s">
        <v>113</v>
      </c>
      <c r="H379" s="2052"/>
      <c r="I379" s="2052"/>
      <c r="J379" s="2052" t="s">
        <v>705</v>
      </c>
      <c r="K379" s="2055"/>
      <c r="L379" s="2054"/>
      <c r="M379" s="2066">
        <f ca="1">M373+M377+M378</f>
        <v>30839633.924079999</v>
      </c>
      <c r="N379" s="2056"/>
      <c r="O379" s="2057"/>
      <c r="P379" s="1952"/>
      <c r="Q379" s="2025"/>
      <c r="R379" s="2025"/>
      <c r="S379" s="2025"/>
    </row>
    <row r="380" spans="1:19" s="474" customFormat="1" ht="15" hidden="1">
      <c r="A380" s="2050"/>
      <c r="B380" s="2051"/>
      <c r="C380" s="2051"/>
      <c r="D380" s="2051"/>
      <c r="E380" s="2052"/>
      <c r="F380" s="2052"/>
      <c r="G380" s="2065" t="s">
        <v>575</v>
      </c>
      <c r="H380" s="2052"/>
      <c r="I380" s="2052"/>
      <c r="J380" s="2052" t="str">
        <f>"G*"&amp;'THCP xay dung'!F83*100&amp;"%"</f>
        <v>G*10%</v>
      </c>
      <c r="K380" s="2055"/>
      <c r="L380" s="2054"/>
      <c r="M380" s="2066">
        <f ca="1">M379*'THCP xay dung'!F83*100%</f>
        <v>3083963.3924080003</v>
      </c>
      <c r="N380" s="2056"/>
      <c r="O380" s="2057"/>
      <c r="P380" s="1952"/>
      <c r="Q380" s="2025"/>
      <c r="R380" s="2025"/>
      <c r="S380" s="2025"/>
    </row>
    <row r="381" spans="1:19" s="474" customFormat="1" ht="15" hidden="1">
      <c r="A381" s="2050"/>
      <c r="B381" s="2051"/>
      <c r="C381" s="2051"/>
      <c r="D381" s="2051"/>
      <c r="E381" s="2052"/>
      <c r="F381" s="2052"/>
      <c r="G381" s="2065" t="s">
        <v>117</v>
      </c>
      <c r="H381" s="2052"/>
      <c r="I381" s="2052"/>
      <c r="J381" s="2052" t="s">
        <v>596</v>
      </c>
      <c r="K381" s="2055"/>
      <c r="L381" s="2054"/>
      <c r="M381" s="2066">
        <f ca="1">M379+M380</f>
        <v>33923597.316487998</v>
      </c>
      <c r="N381" s="2056"/>
      <c r="O381" s="2057"/>
      <c r="P381" s="1952"/>
      <c r="Q381" s="2025"/>
      <c r="R381" s="2025"/>
      <c r="S381" s="2025"/>
    </row>
    <row r="382" spans="1:19" s="474" customFormat="1" ht="15" hidden="1">
      <c r="A382" s="2050"/>
      <c r="B382" s="2051"/>
      <c r="C382" s="2051"/>
      <c r="D382" s="2051"/>
      <c r="E382" s="2052"/>
      <c r="F382" s="2052"/>
      <c r="G382" s="2065" t="s">
        <v>168</v>
      </c>
      <c r="H382" s="2052"/>
      <c r="I382" s="2052"/>
      <c r="J382" s="2052" t="str">
        <f ca="1">"GXD*"&amp;'THCP xay dung'!F85*100&amp;"%"</f>
        <v>GXD*6%</v>
      </c>
      <c r="K382" s="2055"/>
      <c r="L382" s="2054"/>
      <c r="M382" s="2066">
        <f ca="1">M381*'THCP xay dung'!F85*100%</f>
        <v>2035415.8389892797</v>
      </c>
      <c r="N382" s="2056"/>
      <c r="O382" s="2057"/>
      <c r="P382" s="1952"/>
      <c r="Q382" s="2025"/>
      <c r="R382" s="2025"/>
      <c r="S382" s="2025"/>
    </row>
    <row r="383" spans="1:19" s="474" customFormat="1" ht="15" hidden="1">
      <c r="A383" s="2090" t="s">
        <v>304</v>
      </c>
      <c r="B383" s="2091"/>
      <c r="C383" s="2091"/>
      <c r="D383" s="2091"/>
      <c r="E383" s="2092"/>
      <c r="F383" s="2092"/>
      <c r="G383" s="2075" t="s">
        <v>1837</v>
      </c>
      <c r="H383" s="2060"/>
      <c r="I383" s="2060"/>
      <c r="J383" s="2060" t="s">
        <v>1636</v>
      </c>
      <c r="K383" s="2062"/>
      <c r="L383" s="2061"/>
      <c r="M383" s="2074">
        <f ca="1">M381+M382</f>
        <v>35959013.155477278</v>
      </c>
      <c r="N383" s="2063"/>
      <c r="O383" s="2064"/>
      <c r="P383" s="1952"/>
      <c r="Q383" s="2025"/>
      <c r="R383" s="2025"/>
      <c r="S383" s="2025"/>
    </row>
    <row r="384" spans="1:19" s="474" customFormat="1" ht="90">
      <c r="A384" s="2282">
        <v>80</v>
      </c>
      <c r="B384" s="2283">
        <f>'Du toan XD'!B164</f>
        <v>8</v>
      </c>
      <c r="C384" s="2283" t="s">
        <v>1898</v>
      </c>
      <c r="D384" s="2283" t="s">
        <v>1928</v>
      </c>
      <c r="E384" s="2284" t="s">
        <v>1555</v>
      </c>
      <c r="F384" s="2284"/>
      <c r="G384" s="2309" t="str">
        <f>'Du toan XD'!F164</f>
        <v>Bê tông đá dăm sản xuất bằng máy trộn, đổ bằng thủ công, bê tông lanh tô, lanh tô liền mái hắt, máng nước, tấm đan, ô văng đá 1x2, vữa bê tông XM PCB40 mác 200</v>
      </c>
      <c r="H384" s="2284" t="str">
        <f>'Du toan XD'!G164</f>
        <v>m³</v>
      </c>
      <c r="I384" s="2284">
        <f>'Du toan XD'!H164</f>
        <v>0.73840000000000006</v>
      </c>
      <c r="J384" s="2285"/>
      <c r="K384" s="2286"/>
      <c r="L384" s="2287"/>
      <c r="M384" s="2286"/>
      <c r="N384" s="2288"/>
      <c r="O384" s="2289"/>
      <c r="P384" s="1952">
        <f>M385</f>
        <v>758092</v>
      </c>
      <c r="Q384" s="2025"/>
      <c r="R384" s="2025">
        <f>M391</f>
        <v>607810</v>
      </c>
      <c r="S384" s="2025">
        <f>M393</f>
        <v>31846</v>
      </c>
    </row>
    <row r="385" spans="1:19" s="474" customFormat="1" ht="15">
      <c r="A385" s="2290"/>
      <c r="B385" s="2291"/>
      <c r="C385" s="2291"/>
      <c r="D385" s="2291"/>
      <c r="E385" s="2292"/>
      <c r="F385" s="2292"/>
      <c r="G385" s="2311" t="s">
        <v>224</v>
      </c>
      <c r="H385" s="2311"/>
      <c r="I385" s="2311"/>
      <c r="J385" s="2314"/>
      <c r="K385" s="2312"/>
      <c r="L385" s="2313"/>
      <c r="M385" s="2312">
        <f>ROUND(SUM(M386:M390),Config!C103)</f>
        <v>758092</v>
      </c>
      <c r="N385" s="2298"/>
      <c r="O385" s="2299"/>
      <c r="P385" s="1952"/>
      <c r="Q385" s="2025"/>
      <c r="R385" s="2025"/>
      <c r="S385" s="2025"/>
    </row>
    <row r="386" spans="1:19" s="474" customFormat="1" ht="15">
      <c r="A386" s="2290"/>
      <c r="B386" s="2291"/>
      <c r="C386" s="2291" t="s">
        <v>1898</v>
      </c>
      <c r="D386" s="2291"/>
      <c r="E386" s="2292"/>
      <c r="F386" s="2292" t="s">
        <v>1901</v>
      </c>
      <c r="G386" s="2310" t="s">
        <v>1902</v>
      </c>
      <c r="H386" s="2292" t="s">
        <v>1856</v>
      </c>
      <c r="I386" s="2292"/>
      <c r="J386" s="2294">
        <f>259*1.025</f>
        <v>265.47499999999997</v>
      </c>
      <c r="K386" s="2364">
        <f>'TH vat tu XD'!G71</f>
        <v>1380</v>
      </c>
      <c r="L386" s="2296"/>
      <c r="M386" s="2295">
        <f>IF(L386=0,J386*K386,J386*K386*L386)</f>
        <v>366355.49999999994</v>
      </c>
      <c r="N386" s="2298">
        <f>IF(L386=0,I384*J386,I384*J386*L386)</f>
        <v>196.02673999999999</v>
      </c>
      <c r="O386" s="2299">
        <f>J390%*N386</f>
        <v>1.9602674</v>
      </c>
      <c r="P386" s="1952"/>
      <c r="Q386" s="2025"/>
      <c r="R386" s="2025"/>
      <c r="S386" s="2025"/>
    </row>
    <row r="387" spans="1:19" s="474" customFormat="1" ht="15">
      <c r="A387" s="2290"/>
      <c r="B387" s="2291"/>
      <c r="C387" s="2291" t="s">
        <v>1898</v>
      </c>
      <c r="D387" s="2291"/>
      <c r="E387" s="2292"/>
      <c r="F387" s="2292" t="s">
        <v>1903</v>
      </c>
      <c r="G387" s="2310" t="s">
        <v>1904</v>
      </c>
      <c r="H387" s="2292" t="s">
        <v>1848</v>
      </c>
      <c r="I387" s="2292"/>
      <c r="J387" s="2294">
        <f>0.528*1.025</f>
        <v>0.54120000000000001</v>
      </c>
      <c r="K387" s="2364">
        <f>'TH vat tu XD'!G59</f>
        <v>435000</v>
      </c>
      <c r="L387" s="2296"/>
      <c r="M387" s="2295">
        <f>IF(L387=0,J387*K387,J387*K387*L387)</f>
        <v>235422</v>
      </c>
      <c r="N387" s="2298">
        <f>IF(L387=0,I384*J387,I384*J387*L387)</f>
        <v>0.39962208000000005</v>
      </c>
      <c r="O387" s="2299">
        <f>J390%*N387</f>
        <v>3.9962208000000003E-3</v>
      </c>
      <c r="P387" s="1952"/>
      <c r="Q387" s="2025"/>
      <c r="R387" s="2025"/>
      <c r="S387" s="2025"/>
    </row>
    <row r="388" spans="1:19" s="474" customFormat="1" ht="15">
      <c r="A388" s="2290"/>
      <c r="B388" s="2291"/>
      <c r="C388" s="2291" t="s">
        <v>1898</v>
      </c>
      <c r="D388" s="2291"/>
      <c r="E388" s="2292"/>
      <c r="F388" s="2292" t="s">
        <v>1905</v>
      </c>
      <c r="G388" s="2310" t="s">
        <v>1906</v>
      </c>
      <c r="H388" s="2292" t="s">
        <v>1848</v>
      </c>
      <c r="I388" s="2292"/>
      <c r="J388" s="2294">
        <f>0.871*1.025</f>
        <v>0.89277499999999987</v>
      </c>
      <c r="K388" s="2364">
        <f>'TH vat tu XD'!G60</f>
        <v>165000</v>
      </c>
      <c r="L388" s="2296"/>
      <c r="M388" s="2295">
        <f>IF(L388=0,J388*K388,J388*K388*L388)</f>
        <v>147307.87499999997</v>
      </c>
      <c r="N388" s="2298">
        <f>IF(L388=0,I384*J388,I384*J388*L388)</f>
        <v>0.65922505999999992</v>
      </c>
      <c r="O388" s="2299">
        <f>J390%*N388</f>
        <v>6.5922505999999994E-3</v>
      </c>
      <c r="P388" s="1952"/>
      <c r="Q388" s="2025"/>
      <c r="R388" s="2025"/>
      <c r="S388" s="2025"/>
    </row>
    <row r="389" spans="1:19" s="474" customFormat="1" ht="15">
      <c r="A389" s="2290"/>
      <c r="B389" s="2291"/>
      <c r="C389" s="2291" t="s">
        <v>1898</v>
      </c>
      <c r="D389" s="2291"/>
      <c r="E389" s="2292"/>
      <c r="F389" s="2292" t="s">
        <v>1859</v>
      </c>
      <c r="G389" s="2310" t="s">
        <v>1860</v>
      </c>
      <c r="H389" s="2292" t="s">
        <v>1861</v>
      </c>
      <c r="I389" s="2292"/>
      <c r="J389" s="2294">
        <f>183*1.025</f>
        <v>187.57499999999999</v>
      </c>
      <c r="K389" s="2364">
        <f>'TH vat tu XD'!G66</f>
        <v>8</v>
      </c>
      <c r="L389" s="2296"/>
      <c r="M389" s="2295">
        <f>IF(L389=0,J389*K389,J389*K389*L389)</f>
        <v>1500.6</v>
      </c>
      <c r="N389" s="2298">
        <f>IF(L389=0,I384*J389,I384*J389*L389)</f>
        <v>138.50538</v>
      </c>
      <c r="O389" s="2299">
        <f>J390%*N389</f>
        <v>1.3850538000000001</v>
      </c>
      <c r="P389" s="1952"/>
      <c r="Q389" s="2025"/>
      <c r="R389" s="2025"/>
      <c r="S389" s="2025"/>
    </row>
    <row r="390" spans="1:19" s="474" customFormat="1" ht="15">
      <c r="A390" s="2290"/>
      <c r="B390" s="2291"/>
      <c r="C390" s="2291"/>
      <c r="D390" s="2291"/>
      <c r="E390" s="2292"/>
      <c r="F390" s="2292" t="s">
        <v>1882</v>
      </c>
      <c r="G390" s="2310" t="s">
        <v>226</v>
      </c>
      <c r="H390" s="2292" t="s">
        <v>1850</v>
      </c>
      <c r="I390" s="2292"/>
      <c r="J390" s="2294">
        <v>1</v>
      </c>
      <c r="K390" s="2295"/>
      <c r="L390" s="2296"/>
      <c r="M390" s="2295">
        <f>SUM(M386:M389)*J390%</f>
        <v>7505.8597499999996</v>
      </c>
      <c r="N390" s="2298"/>
      <c r="O390" s="2299"/>
      <c r="P390" s="1952"/>
      <c r="Q390" s="2025"/>
      <c r="R390" s="2025"/>
      <c r="S390" s="2025"/>
    </row>
    <row r="391" spans="1:19" s="474" customFormat="1" ht="15">
      <c r="A391" s="2290"/>
      <c r="B391" s="2291"/>
      <c r="C391" s="2291"/>
      <c r="D391" s="2291"/>
      <c r="E391" s="2292"/>
      <c r="F391" s="2292"/>
      <c r="G391" s="2311" t="s">
        <v>225</v>
      </c>
      <c r="H391" s="2311"/>
      <c r="I391" s="2311"/>
      <c r="J391" s="2314"/>
      <c r="K391" s="2312"/>
      <c r="L391" s="2313"/>
      <c r="M391" s="2312">
        <f>ROUND(SUM(M392:M392),Config!C103)</f>
        <v>607810</v>
      </c>
      <c r="N391" s="2298"/>
      <c r="O391" s="2299"/>
      <c r="P391" s="1952"/>
      <c r="Q391" s="2025"/>
      <c r="R391" s="2025"/>
      <c r="S391" s="2025"/>
    </row>
    <row r="392" spans="1:19" s="474" customFormat="1" ht="15">
      <c r="A392" s="2290"/>
      <c r="B392" s="2291"/>
      <c r="C392" s="2291"/>
      <c r="D392" s="2291"/>
      <c r="E392" s="2292"/>
      <c r="F392" s="2292" t="s">
        <v>1866</v>
      </c>
      <c r="G392" s="2310" t="s">
        <v>1867</v>
      </c>
      <c r="H392" s="2292" t="s">
        <v>1833</v>
      </c>
      <c r="I392" s="2292"/>
      <c r="J392" s="2294">
        <v>2.66</v>
      </c>
      <c r="K392" s="2364">
        <f>'TH vat tu XD'!G74</f>
        <v>228500</v>
      </c>
      <c r="L392" s="2296"/>
      <c r="M392" s="2295">
        <f>IF(L392=0,J392*K392,J392*K392*L392)</f>
        <v>607810</v>
      </c>
      <c r="N392" s="2298">
        <f>IF(L392=0,I384*J392,I384*J392*L392)</f>
        <v>1.9641440000000003</v>
      </c>
      <c r="O392" s="2299"/>
      <c r="P392" s="1952"/>
      <c r="Q392" s="2025"/>
      <c r="R392" s="2025"/>
      <c r="S392" s="2025"/>
    </row>
    <row r="393" spans="1:19" s="474" customFormat="1" ht="15">
      <c r="A393" s="2290"/>
      <c r="B393" s="2291"/>
      <c r="C393" s="2291"/>
      <c r="D393" s="2291"/>
      <c r="E393" s="2292"/>
      <c r="F393" s="2292"/>
      <c r="G393" s="2311" t="s">
        <v>228</v>
      </c>
      <c r="H393" s="2311"/>
      <c r="I393" s="2311"/>
      <c r="J393" s="2314"/>
      <c r="K393" s="2312"/>
      <c r="L393" s="2313"/>
      <c r="M393" s="2312">
        <f>ROUND(SUM(M394:M396),Config!C103)</f>
        <v>31846</v>
      </c>
      <c r="N393" s="2298"/>
      <c r="O393" s="2299"/>
      <c r="P393" s="1952"/>
      <c r="Q393" s="2025"/>
      <c r="R393" s="2025"/>
      <c r="S393" s="2025"/>
    </row>
    <row r="394" spans="1:19" s="474" customFormat="1" ht="15">
      <c r="A394" s="2290"/>
      <c r="B394" s="2291"/>
      <c r="C394" s="2291"/>
      <c r="D394" s="2291"/>
      <c r="E394" s="2292"/>
      <c r="F394" s="2292" t="s">
        <v>1909</v>
      </c>
      <c r="G394" s="2310" t="s">
        <v>1910</v>
      </c>
      <c r="H394" s="2292" t="s">
        <v>1836</v>
      </c>
      <c r="I394" s="2292"/>
      <c r="J394" s="2294">
        <v>9.5000000000000001E-2</v>
      </c>
      <c r="K394" s="2364">
        <f>'TH vat tu XD'!G80</f>
        <v>74264</v>
      </c>
      <c r="L394" s="2296"/>
      <c r="M394" s="2295">
        <f>IF(L394=0,J394*K394,J394*K394*L394)</f>
        <v>7055.08</v>
      </c>
      <c r="N394" s="2298">
        <f>IF(L394=0,I384*J394,I384*J394*L394)</f>
        <v>7.0148000000000002E-2</v>
      </c>
      <c r="O394" s="2299"/>
      <c r="P394" s="1952"/>
      <c r="Q394" s="2025"/>
      <c r="R394" s="2025"/>
      <c r="S394" s="2025"/>
    </row>
    <row r="395" spans="1:19" s="474" customFormat="1" ht="15">
      <c r="A395" s="2290"/>
      <c r="B395" s="2291"/>
      <c r="C395" s="2291"/>
      <c r="D395" s="2291"/>
      <c r="E395" s="2292"/>
      <c r="F395" s="2292" t="s">
        <v>1911</v>
      </c>
      <c r="G395" s="2310" t="s">
        <v>1912</v>
      </c>
      <c r="H395" s="2292" t="s">
        <v>1836</v>
      </c>
      <c r="I395" s="2292"/>
      <c r="J395" s="2294">
        <v>8.8999999999999996E-2</v>
      </c>
      <c r="K395" s="2364">
        <f>'TH vat tu XD'!G78</f>
        <v>30106</v>
      </c>
      <c r="L395" s="2296"/>
      <c r="M395" s="2295">
        <f>IF(L395=0,J395*K395,J395*K395*L395)</f>
        <v>2679.4339999999997</v>
      </c>
      <c r="N395" s="2298">
        <f>IF(L395=0,I384*J395,I384*J395*L395)</f>
        <v>6.5717600000000001E-2</v>
      </c>
      <c r="O395" s="2299"/>
      <c r="P395" s="1952"/>
      <c r="Q395" s="2025"/>
      <c r="R395" s="2025"/>
      <c r="S395" s="2025"/>
    </row>
    <row r="396" spans="1:19" s="474" customFormat="1" ht="15">
      <c r="A396" s="2290"/>
      <c r="B396" s="2291"/>
      <c r="C396" s="2291"/>
      <c r="D396" s="2291"/>
      <c r="E396" s="2292"/>
      <c r="F396" s="2292" t="s">
        <v>1930</v>
      </c>
      <c r="G396" s="2310" t="s">
        <v>1931</v>
      </c>
      <c r="H396" s="2292" t="s">
        <v>1836</v>
      </c>
      <c r="I396" s="2292"/>
      <c r="J396" s="2294">
        <v>0.11</v>
      </c>
      <c r="K396" s="2364">
        <f>'TH vat tu XD'!G81</f>
        <v>201014</v>
      </c>
      <c r="L396" s="2296"/>
      <c r="M396" s="2295">
        <f>IF(L396=0,J396*K396,J396*K396*L396)</f>
        <v>22111.54</v>
      </c>
      <c r="N396" s="2298">
        <f>IF(L396=0,I384*J396,I384*J396*L396)</f>
        <v>8.1224000000000005E-2</v>
      </c>
      <c r="O396" s="2299"/>
      <c r="P396" s="1952"/>
      <c r="Q396" s="2025"/>
      <c r="R396" s="2025"/>
      <c r="S396" s="2025"/>
    </row>
    <row r="397" spans="1:19" s="474" customFormat="1" ht="15" hidden="1">
      <c r="A397" s="2290"/>
      <c r="B397" s="2291"/>
      <c r="C397" s="2291"/>
      <c r="D397" s="2291"/>
      <c r="E397" s="2292"/>
      <c r="F397" s="2292"/>
      <c r="G397" s="2293" t="s">
        <v>109</v>
      </c>
      <c r="H397" s="2292"/>
      <c r="I397" s="2292"/>
      <c r="J397" s="2292" t="s">
        <v>333</v>
      </c>
      <c r="K397" s="2295"/>
      <c r="L397" s="2296"/>
      <c r="M397" s="2297">
        <f>M385+M391+M393</f>
        <v>1397748</v>
      </c>
      <c r="N397" s="2298"/>
      <c r="O397" s="2299"/>
      <c r="P397" s="1952"/>
      <c r="Q397" s="2025"/>
      <c r="R397" s="2025"/>
      <c r="S397" s="2025"/>
    </row>
    <row r="398" spans="1:19" s="474" customFormat="1" ht="15" hidden="1">
      <c r="A398" s="2290"/>
      <c r="B398" s="2291"/>
      <c r="C398" s="2291"/>
      <c r="D398" s="2291"/>
      <c r="E398" s="2292"/>
      <c r="F398" s="2292"/>
      <c r="G398" s="2293" t="s">
        <v>378</v>
      </c>
      <c r="H398" s="2292"/>
      <c r="I398" s="2292"/>
      <c r="J398" s="2292" t="str">
        <f ca="1">"T*"&amp;'THCP xay dung'!F77*100&amp;"%"</f>
        <v>T*6,2%</v>
      </c>
      <c r="K398" s="2295"/>
      <c r="L398" s="2296"/>
      <c r="M398" s="2297">
        <f ca="1">M397*'THCP xay dung'!F77*100%</f>
        <v>86660.376000000004</v>
      </c>
      <c r="N398" s="2298"/>
      <c r="O398" s="2299"/>
      <c r="P398" s="1952"/>
      <c r="Q398" s="2025"/>
      <c r="R398" s="2025"/>
      <c r="S398" s="2025"/>
    </row>
    <row r="399" spans="1:19" s="474" customFormat="1" ht="28.5" hidden="1">
      <c r="A399" s="2290"/>
      <c r="B399" s="2291"/>
      <c r="C399" s="2291"/>
      <c r="D399" s="2291"/>
      <c r="E399" s="2292"/>
      <c r="F399" s="2292"/>
      <c r="G399" s="2293" t="s">
        <v>702</v>
      </c>
      <c r="H399" s="2292"/>
      <c r="I399" s="2292"/>
      <c r="J399" s="2292" t="str">
        <f>IF('THCP xay dung'!G78&lt;&gt;1,"T*"&amp;'THCP xay dung'!F78*100&amp;"%"&amp;"*"&amp;'THCP xay dung'!G78,"T*"&amp;'THCP xay dung'!F78*100&amp;"%")</f>
        <v>T*1,1%</v>
      </c>
      <c r="K399" s="2295"/>
      <c r="L399" s="2296"/>
      <c r="M399" s="2297">
        <f>IF('THCP xay dung'!G78&lt;&gt;1,M397*'THCP xay dung'!F78*100%*'THCP xay dung'!G78,M397*'THCP xay dung'!F78*100%)</f>
        <v>15375.228000000001</v>
      </c>
      <c r="N399" s="2298"/>
      <c r="O399" s="2299"/>
      <c r="P399" s="1952"/>
      <c r="Q399" s="2025"/>
      <c r="R399" s="2025"/>
      <c r="S399" s="2025"/>
    </row>
    <row r="400" spans="1:19" s="474" customFormat="1" ht="42.75" hidden="1">
      <c r="A400" s="2290"/>
      <c r="B400" s="2291"/>
      <c r="C400" s="2291"/>
      <c r="D400" s="2291"/>
      <c r="E400" s="2292"/>
      <c r="F400" s="2292"/>
      <c r="G400" s="2293" t="s">
        <v>703</v>
      </c>
      <c r="H400" s="2292"/>
      <c r="I400" s="2292"/>
      <c r="J400" s="2292" t="str">
        <f ca="1">"T*"&amp;'THCP xay dung'!F79*100&amp;"%"</f>
        <v>T*2%</v>
      </c>
      <c r="K400" s="2295"/>
      <c r="L400" s="2296"/>
      <c r="M400" s="2297">
        <f ca="1">M397*'THCP xay dung'!F79*100%</f>
        <v>27954.959999999999</v>
      </c>
      <c r="N400" s="2298"/>
      <c r="O400" s="2299"/>
      <c r="P400" s="1952"/>
      <c r="Q400" s="2025"/>
      <c r="R400" s="2025"/>
      <c r="S400" s="2025"/>
    </row>
    <row r="401" spans="1:19" s="474" customFormat="1" ht="15" hidden="1">
      <c r="A401" s="2290"/>
      <c r="B401" s="2291"/>
      <c r="C401" s="2291"/>
      <c r="D401" s="2291"/>
      <c r="E401" s="2292"/>
      <c r="F401" s="2292"/>
      <c r="G401" s="2293" t="s">
        <v>701</v>
      </c>
      <c r="H401" s="2292"/>
      <c r="I401" s="2292"/>
      <c r="J401" s="2292" t="s">
        <v>931</v>
      </c>
      <c r="K401" s="2295"/>
      <c r="L401" s="2296"/>
      <c r="M401" s="2297">
        <f ca="1">M398+M399+M400</f>
        <v>129990.56400000001</v>
      </c>
      <c r="N401" s="2298"/>
      <c r="O401" s="2299"/>
      <c r="P401" s="1952"/>
      <c r="Q401" s="2025"/>
      <c r="R401" s="2025"/>
      <c r="S401" s="2025"/>
    </row>
    <row r="402" spans="1:19" s="474" customFormat="1" ht="15" hidden="1">
      <c r="A402" s="2290"/>
      <c r="B402" s="2291"/>
      <c r="C402" s="2291"/>
      <c r="D402" s="2291"/>
      <c r="E402" s="2292"/>
      <c r="F402" s="2292"/>
      <c r="G402" s="2293" t="s">
        <v>574</v>
      </c>
      <c r="H402" s="2292"/>
      <c r="I402" s="2292"/>
      <c r="J402" s="2292" t="str">
        <f ca="1">"(T+GT)*"&amp;'THCP xay dung'!F81*100&amp;"%"</f>
        <v>(T+GT)*6%</v>
      </c>
      <c r="K402" s="2295"/>
      <c r="L402" s="2296"/>
      <c r="M402" s="2297">
        <f ca="1">(M397+M401)*'THCP xay dung'!F81*100%</f>
        <v>91664.313840000003</v>
      </c>
      <c r="N402" s="2298"/>
      <c r="O402" s="2299"/>
      <c r="P402" s="1952"/>
      <c r="Q402" s="2025"/>
      <c r="R402" s="2025"/>
      <c r="S402" s="2025"/>
    </row>
    <row r="403" spans="1:19" s="474" customFormat="1" ht="15" hidden="1">
      <c r="A403" s="2290"/>
      <c r="B403" s="2291"/>
      <c r="C403" s="2291"/>
      <c r="D403" s="2291"/>
      <c r="E403" s="2292"/>
      <c r="F403" s="2292"/>
      <c r="G403" s="2293" t="s">
        <v>113</v>
      </c>
      <c r="H403" s="2292"/>
      <c r="I403" s="2292"/>
      <c r="J403" s="2292" t="s">
        <v>705</v>
      </c>
      <c r="K403" s="2295"/>
      <c r="L403" s="2296"/>
      <c r="M403" s="2297">
        <f ca="1">M397+M401+M402</f>
        <v>1619402.87784</v>
      </c>
      <c r="N403" s="2298"/>
      <c r="O403" s="2299"/>
      <c r="P403" s="1952"/>
      <c r="Q403" s="2025"/>
      <c r="R403" s="2025"/>
      <c r="S403" s="2025"/>
    </row>
    <row r="404" spans="1:19" s="474" customFormat="1" ht="15" hidden="1">
      <c r="A404" s="2290"/>
      <c r="B404" s="2291"/>
      <c r="C404" s="2291"/>
      <c r="D404" s="2291"/>
      <c r="E404" s="2292"/>
      <c r="F404" s="2292"/>
      <c r="G404" s="2293" t="s">
        <v>575</v>
      </c>
      <c r="H404" s="2292"/>
      <c r="I404" s="2292"/>
      <c r="J404" s="2292" t="str">
        <f>"G*"&amp;'THCP xay dung'!F83*100&amp;"%"</f>
        <v>G*10%</v>
      </c>
      <c r="K404" s="2295"/>
      <c r="L404" s="2296"/>
      <c r="M404" s="2297">
        <f ca="1">M403*'THCP xay dung'!F83*100%</f>
        <v>161940.28778400001</v>
      </c>
      <c r="N404" s="2298"/>
      <c r="O404" s="2299"/>
      <c r="P404" s="1952"/>
      <c r="Q404" s="2025"/>
      <c r="R404" s="2025"/>
      <c r="S404" s="2025"/>
    </row>
    <row r="405" spans="1:19" s="474" customFormat="1" ht="15" hidden="1">
      <c r="A405" s="2290"/>
      <c r="B405" s="2291"/>
      <c r="C405" s="2291"/>
      <c r="D405" s="2291"/>
      <c r="E405" s="2292"/>
      <c r="F405" s="2292"/>
      <c r="G405" s="2293" t="s">
        <v>117</v>
      </c>
      <c r="H405" s="2292"/>
      <c r="I405" s="2292"/>
      <c r="J405" s="2292" t="s">
        <v>596</v>
      </c>
      <c r="K405" s="2295"/>
      <c r="L405" s="2296"/>
      <c r="M405" s="2297">
        <f ca="1">M403+M404</f>
        <v>1781343.1656239999</v>
      </c>
      <c r="N405" s="2298"/>
      <c r="O405" s="2299"/>
      <c r="P405" s="1952"/>
      <c r="Q405" s="2025"/>
      <c r="R405" s="2025"/>
      <c r="S405" s="2025"/>
    </row>
    <row r="406" spans="1:19" s="474" customFormat="1" ht="15" hidden="1">
      <c r="A406" s="2290"/>
      <c r="B406" s="2291"/>
      <c r="C406" s="2291"/>
      <c r="D406" s="2291"/>
      <c r="E406" s="2292"/>
      <c r="F406" s="2292"/>
      <c r="G406" s="2293" t="s">
        <v>168</v>
      </c>
      <c r="H406" s="2292"/>
      <c r="I406" s="2292"/>
      <c r="J406" s="2292" t="str">
        <f ca="1">"GXD*"&amp;'THCP xay dung'!F85*100&amp;"%"</f>
        <v>GXD*6%</v>
      </c>
      <c r="K406" s="2295"/>
      <c r="L406" s="2296"/>
      <c r="M406" s="2297">
        <f ca="1">M405*'THCP xay dung'!F85*100%</f>
        <v>106880.58993743999</v>
      </c>
      <c r="N406" s="2298"/>
      <c r="O406" s="2299"/>
      <c r="P406" s="1952"/>
      <c r="Q406" s="2025"/>
      <c r="R406" s="2025"/>
      <c r="S406" s="2025"/>
    </row>
    <row r="407" spans="1:19" s="474" customFormat="1" ht="15" hidden="1">
      <c r="A407" s="2300" t="s">
        <v>304</v>
      </c>
      <c r="B407" s="2301"/>
      <c r="C407" s="2301"/>
      <c r="D407" s="2301"/>
      <c r="E407" s="2302"/>
      <c r="F407" s="2302"/>
      <c r="G407" s="2303" t="s">
        <v>1837</v>
      </c>
      <c r="H407" s="2302"/>
      <c r="I407" s="2302"/>
      <c r="J407" s="2302" t="s">
        <v>1636</v>
      </c>
      <c r="K407" s="2304"/>
      <c r="L407" s="2305"/>
      <c r="M407" s="2306">
        <f ca="1">M405+M406</f>
        <v>1888223.7555614398</v>
      </c>
      <c r="N407" s="2307"/>
      <c r="O407" s="2308"/>
      <c r="P407" s="1952"/>
      <c r="Q407" s="2025"/>
      <c r="R407" s="2025"/>
      <c r="S407" s="2025"/>
    </row>
    <row r="408" spans="1:19" s="474" customFormat="1" ht="15">
      <c r="A408" s="2136" t="str">
        <f>'Du toan XD'!A172</f>
        <v>HM8</v>
      </c>
      <c r="B408" s="2137" t="str">
        <f>'Du toan XD'!E172</f>
        <v>HM</v>
      </c>
      <c r="C408" s="2137"/>
      <c r="D408" s="2137"/>
      <c r="E408" s="2138"/>
      <c r="F408" s="2138"/>
      <c r="G408" s="2138" t="str">
        <f>'Du toan XD'!F172</f>
        <v>CÔNG TÁC XÂY</v>
      </c>
      <c r="H408" s="2139"/>
      <c r="I408" s="2139"/>
      <c r="J408" s="1953"/>
      <c r="K408" s="1954"/>
      <c r="L408" s="1953"/>
      <c r="M408" s="1955"/>
      <c r="N408" s="2025"/>
      <c r="O408" s="2025"/>
      <c r="P408" s="2025"/>
      <c r="Q408" s="2025"/>
      <c r="R408" s="2025"/>
      <c r="S408" s="2025"/>
    </row>
    <row r="409" spans="1:19" s="474" customFormat="1" ht="45">
      <c r="A409" s="2282">
        <v>81</v>
      </c>
      <c r="B409" s="2283">
        <f>'Du toan XD'!B173</f>
        <v>1</v>
      </c>
      <c r="C409" s="2283" t="s">
        <v>1932</v>
      </c>
      <c r="D409" s="2283" t="s">
        <v>1933</v>
      </c>
      <c r="E409" s="2284" t="s">
        <v>1556</v>
      </c>
      <c r="F409" s="2284"/>
      <c r="G409" s="2309" t="str">
        <f>'Du toan XD'!F173</f>
        <v>Xây cột, trụ bằng gạch đất sét nung 5x10x20, chiều cao ≤6m, vữa XM PCB40 mác 50</v>
      </c>
      <c r="H409" s="2284" t="str">
        <f>'Du toan XD'!G173</f>
        <v>m³</v>
      </c>
      <c r="I409" s="2284">
        <f>'Du toan XD'!H173</f>
        <v>20.6236</v>
      </c>
      <c r="J409" s="2287"/>
      <c r="K409" s="2286"/>
      <c r="L409" s="2287"/>
      <c r="M409" s="2286"/>
      <c r="N409" s="2288"/>
      <c r="O409" s="2289"/>
      <c r="P409" s="1952">
        <f>M410</f>
        <v>853401</v>
      </c>
      <c r="Q409" s="2025"/>
      <c r="R409" s="2025">
        <f>M416</f>
        <v>822600</v>
      </c>
      <c r="S409" s="2025">
        <f>M418</f>
        <v>1784</v>
      </c>
    </row>
    <row r="410" spans="1:19" s="474" customFormat="1" ht="15">
      <c r="A410" s="2290"/>
      <c r="B410" s="2291"/>
      <c r="C410" s="2291"/>
      <c r="D410" s="2291"/>
      <c r="E410" s="2292"/>
      <c r="F410" s="2292"/>
      <c r="G410" s="2311" t="s">
        <v>224</v>
      </c>
      <c r="H410" s="2311"/>
      <c r="I410" s="2311"/>
      <c r="J410" s="2319"/>
      <c r="K410" s="2312"/>
      <c r="L410" s="2313"/>
      <c r="M410" s="2312">
        <f>ROUND(SUM(M411:M415),Config!C103)</f>
        <v>853401</v>
      </c>
      <c r="N410" s="2298"/>
      <c r="O410" s="2299"/>
      <c r="P410" s="1952"/>
      <c r="Q410" s="2025"/>
      <c r="R410" s="2025"/>
      <c r="S410" s="2025"/>
    </row>
    <row r="411" spans="1:19" s="474" customFormat="1" ht="15">
      <c r="A411" s="2290"/>
      <c r="B411" s="2291"/>
      <c r="C411" s="2291" t="s">
        <v>1932</v>
      </c>
      <c r="D411" s="2291"/>
      <c r="E411" s="2292"/>
      <c r="F411" s="2292" t="s">
        <v>1901</v>
      </c>
      <c r="G411" s="2310" t="s">
        <v>1902</v>
      </c>
      <c r="H411" s="2292" t="s">
        <v>1856</v>
      </c>
      <c r="I411" s="2292"/>
      <c r="J411" s="2296">
        <f>190*0.31</f>
        <v>58.9</v>
      </c>
      <c r="K411" s="2364">
        <f>'TH vat tu XD'!G93</f>
        <v>1380</v>
      </c>
      <c r="L411" s="2296"/>
      <c r="M411" s="2295">
        <f>IF(L411=0,J411*K411,J411*K411*L411)</f>
        <v>81282</v>
      </c>
      <c r="N411" s="2298">
        <f>IF(L411=0,I409*J411,I409*J411*L411)</f>
        <v>1214.7300399999999</v>
      </c>
      <c r="O411" s="2299">
        <f>J415%*N411</f>
        <v>60.736502000000002</v>
      </c>
      <c r="P411" s="1952"/>
      <c r="Q411" s="2025"/>
      <c r="R411" s="2025"/>
      <c r="S411" s="2025"/>
    </row>
    <row r="412" spans="1:19" s="474" customFormat="1" ht="15">
      <c r="A412" s="2290"/>
      <c r="B412" s="2291"/>
      <c r="C412" s="2291" t="s">
        <v>1932</v>
      </c>
      <c r="D412" s="2291"/>
      <c r="E412" s="2292"/>
      <c r="F412" s="2292" t="s">
        <v>1935</v>
      </c>
      <c r="G412" s="2310" t="s">
        <v>1936</v>
      </c>
      <c r="H412" s="2292" t="s">
        <v>1848</v>
      </c>
      <c r="I412" s="2292"/>
      <c r="J412" s="2296">
        <f>1.232*0.31</f>
        <v>0.38191999999999998</v>
      </c>
      <c r="K412" s="2364">
        <f>'TH vat tu XD'!G90</f>
        <v>85000</v>
      </c>
      <c r="L412" s="2296"/>
      <c r="M412" s="2295">
        <f>IF(L412=0,J412*K412,J412*K412*L412)</f>
        <v>32463.199999999997</v>
      </c>
      <c r="N412" s="2298">
        <f>IF(L412=0,I409*J412,I409*J412*L412)</f>
        <v>7.8765653119999994</v>
      </c>
      <c r="O412" s="2299">
        <f>J415%*N412</f>
        <v>0.3938282656</v>
      </c>
      <c r="P412" s="1952"/>
      <c r="Q412" s="2025"/>
      <c r="R412" s="2025"/>
      <c r="S412" s="2025"/>
    </row>
    <row r="413" spans="1:19" s="474" customFormat="1" ht="15">
      <c r="A413" s="2290"/>
      <c r="B413" s="2291"/>
      <c r="C413" s="2291" t="s">
        <v>1932</v>
      </c>
      <c r="D413" s="2291"/>
      <c r="E413" s="2292"/>
      <c r="F413" s="2292" t="s">
        <v>1859</v>
      </c>
      <c r="G413" s="2310" t="s">
        <v>1860</v>
      </c>
      <c r="H413" s="2292" t="s">
        <v>1861</v>
      </c>
      <c r="I413" s="2292"/>
      <c r="J413" s="2296">
        <f>279*0.31</f>
        <v>86.49</v>
      </c>
      <c r="K413" s="2364">
        <f>'TH vat tu XD'!G92</f>
        <v>8</v>
      </c>
      <c r="L413" s="2296"/>
      <c r="M413" s="2295">
        <f>IF(L413=0,J413*K413,J413*K413*L413)</f>
        <v>691.92</v>
      </c>
      <c r="N413" s="2298">
        <f>IF(L413=0,I409*J413,I409*J413*L413)</f>
        <v>1783.7351639999999</v>
      </c>
      <c r="O413" s="2299">
        <f>J415%*N413</f>
        <v>89.1867582</v>
      </c>
      <c r="P413" s="1952"/>
      <c r="Q413" s="2025"/>
      <c r="R413" s="2025"/>
      <c r="S413" s="2025"/>
    </row>
    <row r="414" spans="1:19" s="474" customFormat="1" ht="15">
      <c r="A414" s="2290"/>
      <c r="B414" s="2291"/>
      <c r="C414" s="2291"/>
      <c r="D414" s="2291"/>
      <c r="E414" s="2292"/>
      <c r="F414" s="2292" t="s">
        <v>1937</v>
      </c>
      <c r="G414" s="2310" t="s">
        <v>1938</v>
      </c>
      <c r="H414" s="2292" t="s">
        <v>1939</v>
      </c>
      <c r="I414" s="2292"/>
      <c r="J414" s="2296">
        <v>782</v>
      </c>
      <c r="K414" s="2364">
        <f>'TH vat tu XD'!G91</f>
        <v>893</v>
      </c>
      <c r="L414" s="2296"/>
      <c r="M414" s="2295">
        <f>IF(L414=0,J414*K414,J414*K414*L414)</f>
        <v>698326</v>
      </c>
      <c r="N414" s="2298">
        <f>IF(L414=0,I409*J414,I409*J414*L414)</f>
        <v>16127.655199999999</v>
      </c>
      <c r="O414" s="2299">
        <f>J415%*N414</f>
        <v>806.38275999999996</v>
      </c>
      <c r="P414" s="1952"/>
      <c r="Q414" s="2025"/>
      <c r="R414" s="2025"/>
      <c r="S414" s="2025"/>
    </row>
    <row r="415" spans="1:19" s="474" customFormat="1" ht="15">
      <c r="A415" s="2290"/>
      <c r="B415" s="2291"/>
      <c r="C415" s="2291"/>
      <c r="D415" s="2291"/>
      <c r="E415" s="2292"/>
      <c r="F415" s="2292" t="s">
        <v>1882</v>
      </c>
      <c r="G415" s="2310" t="s">
        <v>226</v>
      </c>
      <c r="H415" s="2292" t="s">
        <v>1850</v>
      </c>
      <c r="I415" s="2292"/>
      <c r="J415" s="2296">
        <v>5</v>
      </c>
      <c r="K415" s="2295"/>
      <c r="L415" s="2296"/>
      <c r="M415" s="2295">
        <f>SUM(M411:M414)*J415%</f>
        <v>40638.156000000003</v>
      </c>
      <c r="N415" s="2298"/>
      <c r="O415" s="2299"/>
      <c r="P415" s="1952"/>
      <c r="Q415" s="2025"/>
      <c r="R415" s="2025"/>
      <c r="S415" s="2025"/>
    </row>
    <row r="416" spans="1:19" s="474" customFormat="1" ht="15">
      <c r="A416" s="2290"/>
      <c r="B416" s="2291"/>
      <c r="C416" s="2291"/>
      <c r="D416" s="2291"/>
      <c r="E416" s="2292"/>
      <c r="F416" s="2292"/>
      <c r="G416" s="2311" t="s">
        <v>225</v>
      </c>
      <c r="H416" s="2311"/>
      <c r="I416" s="2311"/>
      <c r="J416" s="2319"/>
      <c r="K416" s="2312"/>
      <c r="L416" s="2313"/>
      <c r="M416" s="2312">
        <f>ROUND(SUM(M417:M417),Config!C103)</f>
        <v>822600</v>
      </c>
      <c r="N416" s="2298"/>
      <c r="O416" s="2299"/>
      <c r="P416" s="1952"/>
      <c r="Q416" s="2025"/>
      <c r="R416" s="2025"/>
      <c r="S416" s="2025"/>
    </row>
    <row r="417" spans="1:19" s="474" customFormat="1" ht="15">
      <c r="A417" s="2290"/>
      <c r="B417" s="2291"/>
      <c r="C417" s="2291"/>
      <c r="D417" s="2291"/>
      <c r="E417" s="2292"/>
      <c r="F417" s="2292" t="s">
        <v>1866</v>
      </c>
      <c r="G417" s="2310" t="s">
        <v>1867</v>
      </c>
      <c r="H417" s="2292" t="s">
        <v>1833</v>
      </c>
      <c r="I417" s="2292"/>
      <c r="J417" s="2296">
        <v>3.6</v>
      </c>
      <c r="K417" s="2364">
        <f>'TH vat tu XD'!G96</f>
        <v>228500</v>
      </c>
      <c r="L417" s="2296"/>
      <c r="M417" s="2295">
        <f>IF(L417=0,J417*K417,J417*K417*L417)</f>
        <v>822600</v>
      </c>
      <c r="N417" s="2298">
        <f>IF(L417=0,I409*J417,I409*J417*L417)</f>
        <v>74.244960000000006</v>
      </c>
      <c r="O417" s="2299"/>
      <c r="P417" s="1952"/>
      <c r="Q417" s="2025"/>
      <c r="R417" s="2025"/>
      <c r="S417" s="2025"/>
    </row>
    <row r="418" spans="1:19" s="474" customFormat="1" ht="15">
      <c r="A418" s="2290"/>
      <c r="B418" s="2291"/>
      <c r="C418" s="2291"/>
      <c r="D418" s="2291"/>
      <c r="E418" s="2292"/>
      <c r="F418" s="2292"/>
      <c r="G418" s="2311" t="s">
        <v>228</v>
      </c>
      <c r="H418" s="2311"/>
      <c r="I418" s="2311"/>
      <c r="J418" s="2319"/>
      <c r="K418" s="2312"/>
      <c r="L418" s="2313"/>
      <c r="M418" s="2312">
        <f>ROUND(SUM(M419:M419),Config!C103)</f>
        <v>1784</v>
      </c>
      <c r="N418" s="2298"/>
      <c r="O418" s="2299"/>
      <c r="P418" s="1952"/>
      <c r="Q418" s="2025"/>
      <c r="R418" s="2025"/>
      <c r="S418" s="2025"/>
    </row>
    <row r="419" spans="1:19" s="474" customFormat="1" ht="15">
      <c r="A419" s="2290"/>
      <c r="B419" s="2291"/>
      <c r="C419" s="2291"/>
      <c r="D419" s="2291"/>
      <c r="E419" s="2292"/>
      <c r="F419" s="2292" t="s">
        <v>1868</v>
      </c>
      <c r="G419" s="2310" t="s">
        <v>1869</v>
      </c>
      <c r="H419" s="2292" t="s">
        <v>1836</v>
      </c>
      <c r="I419" s="2292"/>
      <c r="J419" s="2296">
        <v>3.6999999999999998E-2</v>
      </c>
      <c r="K419" s="2364">
        <f>'TH vat tu XD'!G98</f>
        <v>48226</v>
      </c>
      <c r="L419" s="2296"/>
      <c r="M419" s="2295">
        <f>IF(L419=0,J419*K419,J419*K419*L419)</f>
        <v>1784.3619999999999</v>
      </c>
      <c r="N419" s="2298">
        <f>IF(L419=0,I409*J419,I409*J419*L419)</f>
        <v>0.7630731999999999</v>
      </c>
      <c r="O419" s="2299"/>
      <c r="P419" s="1952"/>
      <c r="Q419" s="2025"/>
      <c r="R419" s="2025"/>
      <c r="S419" s="2025"/>
    </row>
    <row r="420" spans="1:19" s="474" customFormat="1" ht="15" hidden="1">
      <c r="A420" s="2290"/>
      <c r="B420" s="2291"/>
      <c r="C420" s="2291"/>
      <c r="D420" s="2291"/>
      <c r="E420" s="2292"/>
      <c r="F420" s="2292"/>
      <c r="G420" s="2293" t="s">
        <v>109</v>
      </c>
      <c r="H420" s="2292"/>
      <c r="I420" s="2292"/>
      <c r="J420" s="2292" t="s">
        <v>333</v>
      </c>
      <c r="K420" s="2295"/>
      <c r="L420" s="2296"/>
      <c r="M420" s="2297">
        <f>M410+M416+M418</f>
        <v>1677785</v>
      </c>
      <c r="N420" s="2298"/>
      <c r="O420" s="2299"/>
      <c r="P420" s="1952"/>
      <c r="Q420" s="2025"/>
      <c r="R420" s="2025"/>
      <c r="S420" s="2025"/>
    </row>
    <row r="421" spans="1:19" s="474" customFormat="1" ht="15" hidden="1">
      <c r="A421" s="2290"/>
      <c r="B421" s="2291"/>
      <c r="C421" s="2291"/>
      <c r="D421" s="2291"/>
      <c r="E421" s="2292"/>
      <c r="F421" s="2292"/>
      <c r="G421" s="2293" t="s">
        <v>378</v>
      </c>
      <c r="H421" s="2292"/>
      <c r="I421" s="2292"/>
      <c r="J421" s="2292" t="str">
        <f ca="1">"T*"&amp;'THCP xay dung'!F106*100&amp;"%"</f>
        <v>T*6,2%</v>
      </c>
      <c r="K421" s="2295"/>
      <c r="L421" s="2296"/>
      <c r="M421" s="2297">
        <f ca="1">M420*'THCP xay dung'!F106*100%</f>
        <v>104022.67</v>
      </c>
      <c r="N421" s="2298"/>
      <c r="O421" s="2299"/>
      <c r="P421" s="1952"/>
      <c r="Q421" s="2025"/>
      <c r="R421" s="2025"/>
      <c r="S421" s="2025"/>
    </row>
    <row r="422" spans="1:19" s="474" customFormat="1" ht="28.5" hidden="1">
      <c r="A422" s="2290"/>
      <c r="B422" s="2291"/>
      <c r="C422" s="2291"/>
      <c r="D422" s="2291"/>
      <c r="E422" s="2292"/>
      <c r="F422" s="2292"/>
      <c r="G422" s="2293" t="s">
        <v>702</v>
      </c>
      <c r="H422" s="2292"/>
      <c r="I422" s="2292"/>
      <c r="J422" s="2292" t="str">
        <f>IF('THCP xay dung'!G107&lt;&gt;1,"T*"&amp;'THCP xay dung'!F107*100&amp;"%"&amp;"*"&amp;'THCP xay dung'!G107,"T*"&amp;'THCP xay dung'!F107*100&amp;"%")</f>
        <v>T*1,1%</v>
      </c>
      <c r="K422" s="2295"/>
      <c r="L422" s="2296"/>
      <c r="M422" s="2297">
        <f>IF('THCP xay dung'!G107&lt;&gt;1,M420*'THCP xay dung'!F107*100%*'THCP xay dung'!G107,M420*'THCP xay dung'!F107*100%)</f>
        <v>18455.635000000002</v>
      </c>
      <c r="N422" s="2298"/>
      <c r="O422" s="2299"/>
      <c r="P422" s="1952"/>
      <c r="Q422" s="2025"/>
      <c r="R422" s="2025"/>
      <c r="S422" s="2025"/>
    </row>
    <row r="423" spans="1:19" s="474" customFormat="1" ht="42.75" hidden="1">
      <c r="A423" s="2290"/>
      <c r="B423" s="2291"/>
      <c r="C423" s="2291"/>
      <c r="D423" s="2291"/>
      <c r="E423" s="2292"/>
      <c r="F423" s="2292"/>
      <c r="G423" s="2293" t="s">
        <v>703</v>
      </c>
      <c r="H423" s="2292"/>
      <c r="I423" s="2292"/>
      <c r="J423" s="2292" t="str">
        <f ca="1">"T*"&amp;'THCP xay dung'!F108*100&amp;"%"</f>
        <v>T*2%</v>
      </c>
      <c r="K423" s="2295"/>
      <c r="L423" s="2296"/>
      <c r="M423" s="2297">
        <f ca="1">M420*'THCP xay dung'!F108*100%</f>
        <v>33555.699999999997</v>
      </c>
      <c r="N423" s="2298"/>
      <c r="O423" s="2299"/>
      <c r="P423" s="1952"/>
      <c r="Q423" s="2025"/>
      <c r="R423" s="2025"/>
      <c r="S423" s="2025"/>
    </row>
    <row r="424" spans="1:19" s="474" customFormat="1" ht="15" hidden="1">
      <c r="A424" s="2290"/>
      <c r="B424" s="2291"/>
      <c r="C424" s="2291"/>
      <c r="D424" s="2291"/>
      <c r="E424" s="2292"/>
      <c r="F424" s="2292"/>
      <c r="G424" s="2293" t="s">
        <v>701</v>
      </c>
      <c r="H424" s="2292"/>
      <c r="I424" s="2292"/>
      <c r="J424" s="2292" t="s">
        <v>931</v>
      </c>
      <c r="K424" s="2295"/>
      <c r="L424" s="2296"/>
      <c r="M424" s="2297">
        <f ca="1">M421+M422+M423</f>
        <v>156034.005</v>
      </c>
      <c r="N424" s="2298"/>
      <c r="O424" s="2299"/>
      <c r="P424" s="1952"/>
      <c r="Q424" s="2025"/>
      <c r="R424" s="2025"/>
      <c r="S424" s="2025"/>
    </row>
    <row r="425" spans="1:19" s="474" customFormat="1" ht="15" hidden="1">
      <c r="A425" s="2290"/>
      <c r="B425" s="2291"/>
      <c r="C425" s="2291"/>
      <c r="D425" s="2291"/>
      <c r="E425" s="2292"/>
      <c r="F425" s="2292"/>
      <c r="G425" s="2293" t="s">
        <v>574</v>
      </c>
      <c r="H425" s="2292"/>
      <c r="I425" s="2292"/>
      <c r="J425" s="2292" t="str">
        <f ca="1">"(T+GT)*"&amp;'THCP xay dung'!F110*100&amp;"%"</f>
        <v>(T+GT)*6%</v>
      </c>
      <c r="K425" s="2295"/>
      <c r="L425" s="2296"/>
      <c r="M425" s="2297">
        <f ca="1">(M420+M424)*'THCP xay dung'!F110*100%</f>
        <v>110029.14029999998</v>
      </c>
      <c r="N425" s="2298"/>
      <c r="O425" s="2299"/>
      <c r="P425" s="1952"/>
      <c r="Q425" s="2025"/>
      <c r="R425" s="2025"/>
      <c r="S425" s="2025"/>
    </row>
    <row r="426" spans="1:19" s="474" customFormat="1" ht="15" hidden="1">
      <c r="A426" s="2290"/>
      <c r="B426" s="2291"/>
      <c r="C426" s="2291"/>
      <c r="D426" s="2291"/>
      <c r="E426" s="2292"/>
      <c r="F426" s="2292"/>
      <c r="G426" s="2293" t="s">
        <v>113</v>
      </c>
      <c r="H426" s="2292"/>
      <c r="I426" s="2292"/>
      <c r="J426" s="2292" t="s">
        <v>705</v>
      </c>
      <c r="K426" s="2295"/>
      <c r="L426" s="2296"/>
      <c r="M426" s="2297">
        <f ca="1">M420+M424+M425</f>
        <v>1943848.1453</v>
      </c>
      <c r="N426" s="2298"/>
      <c r="O426" s="2299"/>
      <c r="P426" s="1952"/>
      <c r="Q426" s="2025"/>
      <c r="R426" s="2025"/>
      <c r="S426" s="2025"/>
    </row>
    <row r="427" spans="1:19" s="474" customFormat="1" ht="15" hidden="1">
      <c r="A427" s="2290"/>
      <c r="B427" s="2291"/>
      <c r="C427" s="2291"/>
      <c r="D427" s="2291"/>
      <c r="E427" s="2292"/>
      <c r="F427" s="2292"/>
      <c r="G427" s="2293" t="s">
        <v>575</v>
      </c>
      <c r="H427" s="2292"/>
      <c r="I427" s="2292"/>
      <c r="J427" s="2292" t="str">
        <f>"G*"&amp;'THCP xay dung'!F112*100&amp;"%"</f>
        <v>G*10%</v>
      </c>
      <c r="K427" s="2295"/>
      <c r="L427" s="2296"/>
      <c r="M427" s="2297">
        <f ca="1">M426*'THCP xay dung'!F112*100%</f>
        <v>194384.81453</v>
      </c>
      <c r="N427" s="2298"/>
      <c r="O427" s="2299"/>
      <c r="P427" s="1952"/>
      <c r="Q427" s="2025"/>
      <c r="R427" s="2025"/>
      <c r="S427" s="2025"/>
    </row>
    <row r="428" spans="1:19" s="474" customFormat="1" ht="15" hidden="1">
      <c r="A428" s="2290"/>
      <c r="B428" s="2291"/>
      <c r="C428" s="2291"/>
      <c r="D428" s="2291"/>
      <c r="E428" s="2292"/>
      <c r="F428" s="2292"/>
      <c r="G428" s="2293" t="s">
        <v>117</v>
      </c>
      <c r="H428" s="2292"/>
      <c r="I428" s="2292"/>
      <c r="J428" s="2292" t="s">
        <v>596</v>
      </c>
      <c r="K428" s="2295"/>
      <c r="L428" s="2296"/>
      <c r="M428" s="2297">
        <f ca="1">M426+M427</f>
        <v>2138232.9598300001</v>
      </c>
      <c r="N428" s="2298"/>
      <c r="O428" s="2299"/>
      <c r="P428" s="1952"/>
      <c r="Q428" s="2025"/>
      <c r="R428" s="2025"/>
      <c r="S428" s="2025"/>
    </row>
    <row r="429" spans="1:19" s="474" customFormat="1" ht="15" hidden="1">
      <c r="A429" s="2290"/>
      <c r="B429" s="2291"/>
      <c r="C429" s="2291"/>
      <c r="D429" s="2291"/>
      <c r="E429" s="2292"/>
      <c r="F429" s="2292"/>
      <c r="G429" s="2293" t="s">
        <v>168</v>
      </c>
      <c r="H429" s="2292"/>
      <c r="I429" s="2292"/>
      <c r="J429" s="2292" t="str">
        <f ca="1">"GXD*"&amp;'THCP xay dung'!F114*100&amp;"%"</f>
        <v>GXD*6%</v>
      </c>
      <c r="K429" s="2295"/>
      <c r="L429" s="2296"/>
      <c r="M429" s="2297">
        <f ca="1">M428*'THCP xay dung'!F114*100%</f>
        <v>128293.97758979999</v>
      </c>
      <c r="N429" s="2298"/>
      <c r="O429" s="2299"/>
      <c r="P429" s="1952"/>
      <c r="Q429" s="2025"/>
      <c r="R429" s="2025"/>
      <c r="S429" s="2025"/>
    </row>
    <row r="430" spans="1:19" s="474" customFormat="1" ht="15" hidden="1">
      <c r="A430" s="2315" t="s">
        <v>304</v>
      </c>
      <c r="B430" s="2316"/>
      <c r="C430" s="2316"/>
      <c r="D430" s="2316"/>
      <c r="E430" s="2317"/>
      <c r="F430" s="2317"/>
      <c r="G430" s="2303" t="s">
        <v>1837</v>
      </c>
      <c r="H430" s="2302"/>
      <c r="I430" s="2302"/>
      <c r="J430" s="2302" t="s">
        <v>1636</v>
      </c>
      <c r="K430" s="2304"/>
      <c r="L430" s="2305"/>
      <c r="M430" s="2306">
        <f ca="1">M428+M429</f>
        <v>2266526.9374198001</v>
      </c>
      <c r="N430" s="2307"/>
      <c r="O430" s="2308"/>
      <c r="P430" s="1952"/>
      <c r="Q430" s="2025"/>
      <c r="R430" s="2025"/>
      <c r="S430" s="2025"/>
    </row>
    <row r="431" spans="1:19" s="474" customFormat="1" ht="60">
      <c r="A431" s="2282">
        <v>82</v>
      </c>
      <c r="B431" s="2283">
        <f>'Du toan XD'!B175</f>
        <v>2</v>
      </c>
      <c r="C431" s="2283" t="s">
        <v>1932</v>
      </c>
      <c r="D431" s="2283" t="s">
        <v>1940</v>
      </c>
      <c r="E431" s="2284" t="s">
        <v>1557</v>
      </c>
      <c r="F431" s="2284"/>
      <c r="G431" s="2309" t="str">
        <f>'Du toan XD'!F175</f>
        <v>Xây tường thẳng bằng gạch đất sét nung 5x10x20, chiều dày ≤30cm, chiều cao ≤6m, vữa XM PCB40 mác 50</v>
      </c>
      <c r="H431" s="2284" t="str">
        <f>'Du toan XD'!G175</f>
        <v>m³</v>
      </c>
      <c r="I431" s="2284">
        <f>'Du toan XD'!H175</f>
        <v>19.728200000000001</v>
      </c>
      <c r="J431" s="2285"/>
      <c r="K431" s="2286"/>
      <c r="L431" s="2287"/>
      <c r="M431" s="2286"/>
      <c r="N431" s="2288"/>
      <c r="O431" s="2289"/>
      <c r="P431" s="1952">
        <f>M432</f>
        <v>875779</v>
      </c>
      <c r="Q431" s="2025"/>
      <c r="R431" s="2025">
        <f>M438</f>
        <v>418155</v>
      </c>
      <c r="S431" s="2025">
        <f>M440</f>
        <v>1736</v>
      </c>
    </row>
    <row r="432" spans="1:19" s="474" customFormat="1" ht="15">
      <c r="A432" s="2290"/>
      <c r="B432" s="2291"/>
      <c r="C432" s="2291"/>
      <c r="D432" s="2291"/>
      <c r="E432" s="2292"/>
      <c r="F432" s="2292"/>
      <c r="G432" s="2311" t="s">
        <v>224</v>
      </c>
      <c r="H432" s="2311"/>
      <c r="I432" s="2311"/>
      <c r="J432" s="2314"/>
      <c r="K432" s="2312"/>
      <c r="L432" s="2313"/>
      <c r="M432" s="2312">
        <f>ROUND(SUM(M433:M437),Config!C103)</f>
        <v>875779</v>
      </c>
      <c r="N432" s="2298"/>
      <c r="O432" s="2299"/>
      <c r="P432" s="1952"/>
      <c r="Q432" s="2025"/>
      <c r="R432" s="2025"/>
      <c r="S432" s="2025"/>
    </row>
    <row r="433" spans="1:19" s="474" customFormat="1" ht="15">
      <c r="A433" s="2290"/>
      <c r="B433" s="2291"/>
      <c r="C433" s="2291" t="s">
        <v>1932</v>
      </c>
      <c r="D433" s="2291"/>
      <c r="E433" s="2292"/>
      <c r="F433" s="2292" t="s">
        <v>1901</v>
      </c>
      <c r="G433" s="2310" t="s">
        <v>1902</v>
      </c>
      <c r="H433" s="2292" t="s">
        <v>1856</v>
      </c>
      <c r="I433" s="2292"/>
      <c r="J433" s="2294">
        <f>190*0.3</f>
        <v>57</v>
      </c>
      <c r="K433" s="2364">
        <f>'TH vat tu XD'!G93</f>
        <v>1380</v>
      </c>
      <c r="L433" s="2296"/>
      <c r="M433" s="2295">
        <f>IF(L433=0,J433*K433,J433*K433*L433)</f>
        <v>78660</v>
      </c>
      <c r="N433" s="2298">
        <f>IF(L433=0,I431*J433,I431*J433*L433)</f>
        <v>1124.5074</v>
      </c>
      <c r="O433" s="2299">
        <f>J437%*N433</f>
        <v>56.225369999999998</v>
      </c>
      <c r="P433" s="1952"/>
      <c r="Q433" s="2025"/>
      <c r="R433" s="2025"/>
      <c r="S433" s="2025"/>
    </row>
    <row r="434" spans="1:19" s="474" customFormat="1" ht="15">
      <c r="A434" s="2290"/>
      <c r="B434" s="2291"/>
      <c r="C434" s="2291" t="s">
        <v>1932</v>
      </c>
      <c r="D434" s="2291"/>
      <c r="E434" s="2292"/>
      <c r="F434" s="2292" t="s">
        <v>1935</v>
      </c>
      <c r="G434" s="2310" t="s">
        <v>1936</v>
      </c>
      <c r="H434" s="2292" t="s">
        <v>1848</v>
      </c>
      <c r="I434" s="2292"/>
      <c r="J434" s="2294">
        <f>1.232*0.3</f>
        <v>0.36959999999999998</v>
      </c>
      <c r="K434" s="2364">
        <f>'TH vat tu XD'!G90</f>
        <v>85000</v>
      </c>
      <c r="L434" s="2296"/>
      <c r="M434" s="2295">
        <f>IF(L434=0,J434*K434,J434*K434*L434)</f>
        <v>31416</v>
      </c>
      <c r="N434" s="2298">
        <f>IF(L434=0,I431*J434,I431*J434*L434)</f>
        <v>7.2915427199999998</v>
      </c>
      <c r="O434" s="2299">
        <f>J437%*N434</f>
        <v>0.36457713600000002</v>
      </c>
      <c r="P434" s="1952"/>
      <c r="Q434" s="2025"/>
      <c r="R434" s="2025"/>
      <c r="S434" s="2025"/>
    </row>
    <row r="435" spans="1:19" s="474" customFormat="1" ht="15">
      <c r="A435" s="2290"/>
      <c r="B435" s="2291"/>
      <c r="C435" s="2291" t="s">
        <v>1932</v>
      </c>
      <c r="D435" s="2291"/>
      <c r="E435" s="2292"/>
      <c r="F435" s="2292" t="s">
        <v>1859</v>
      </c>
      <c r="G435" s="2310" t="s">
        <v>1860</v>
      </c>
      <c r="H435" s="2292" t="s">
        <v>1861</v>
      </c>
      <c r="I435" s="2292"/>
      <c r="J435" s="2294">
        <f>279*0.3</f>
        <v>83.7</v>
      </c>
      <c r="K435" s="2364">
        <f>'TH vat tu XD'!G92</f>
        <v>8</v>
      </c>
      <c r="L435" s="2296"/>
      <c r="M435" s="2295">
        <f>IF(L435=0,J435*K435,J435*K435*L435)</f>
        <v>669.6</v>
      </c>
      <c r="N435" s="2298">
        <f>IF(L435=0,I431*J435,I431*J435*L435)</f>
        <v>1651.2503400000001</v>
      </c>
      <c r="O435" s="2299">
        <f>J437%*N435</f>
        <v>82.562517000000014</v>
      </c>
      <c r="P435" s="1952"/>
      <c r="Q435" s="2025"/>
      <c r="R435" s="2025"/>
      <c r="S435" s="2025"/>
    </row>
    <row r="436" spans="1:19" s="474" customFormat="1" ht="15">
      <c r="A436" s="2290"/>
      <c r="B436" s="2291"/>
      <c r="C436" s="2291"/>
      <c r="D436" s="2291"/>
      <c r="E436" s="2292"/>
      <c r="F436" s="2292" t="s">
        <v>1937</v>
      </c>
      <c r="G436" s="2310" t="s">
        <v>1938</v>
      </c>
      <c r="H436" s="2292" t="s">
        <v>1939</v>
      </c>
      <c r="I436" s="2292"/>
      <c r="J436" s="2294">
        <v>810</v>
      </c>
      <c r="K436" s="2364">
        <f>'TH vat tu XD'!G91</f>
        <v>893</v>
      </c>
      <c r="L436" s="2296"/>
      <c r="M436" s="2295">
        <f>IF(L436=0,J436*K436,J436*K436*L436)</f>
        <v>723330</v>
      </c>
      <c r="N436" s="2298">
        <f>IF(L436=0,I431*J436,I431*J436*L436)</f>
        <v>15979.842000000001</v>
      </c>
      <c r="O436" s="2299">
        <f>J437%*N436</f>
        <v>798.99210000000005</v>
      </c>
      <c r="P436" s="1952"/>
      <c r="Q436" s="2025"/>
      <c r="R436" s="2025"/>
      <c r="S436" s="2025"/>
    </row>
    <row r="437" spans="1:19" s="474" customFormat="1" ht="15">
      <c r="A437" s="2290"/>
      <c r="B437" s="2291"/>
      <c r="C437" s="2291"/>
      <c r="D437" s="2291"/>
      <c r="E437" s="2292"/>
      <c r="F437" s="2292" t="s">
        <v>1882</v>
      </c>
      <c r="G437" s="2310" t="s">
        <v>226</v>
      </c>
      <c r="H437" s="2292" t="s">
        <v>1850</v>
      </c>
      <c r="I437" s="2292"/>
      <c r="J437" s="2294">
        <v>5</v>
      </c>
      <c r="K437" s="2295"/>
      <c r="L437" s="2296"/>
      <c r="M437" s="2295">
        <f>SUM(M433:M436)*J437%</f>
        <v>41703.78</v>
      </c>
      <c r="N437" s="2298"/>
      <c r="O437" s="2299"/>
      <c r="P437" s="1952"/>
      <c r="Q437" s="2025"/>
      <c r="R437" s="2025"/>
      <c r="S437" s="2025"/>
    </row>
    <row r="438" spans="1:19" s="474" customFormat="1" ht="15">
      <c r="A438" s="2290"/>
      <c r="B438" s="2291"/>
      <c r="C438" s="2291"/>
      <c r="D438" s="2291"/>
      <c r="E438" s="2292"/>
      <c r="F438" s="2292"/>
      <c r="G438" s="2311" t="s">
        <v>225</v>
      </c>
      <c r="H438" s="2311"/>
      <c r="I438" s="2311"/>
      <c r="J438" s="2314"/>
      <c r="K438" s="2312"/>
      <c r="L438" s="2313"/>
      <c r="M438" s="2312">
        <f>ROUND(SUM(M439:M439),Config!C103)</f>
        <v>418155</v>
      </c>
      <c r="N438" s="2298"/>
      <c r="O438" s="2299"/>
      <c r="P438" s="1952"/>
      <c r="Q438" s="2025"/>
      <c r="R438" s="2025"/>
      <c r="S438" s="2025"/>
    </row>
    <row r="439" spans="1:19" s="474" customFormat="1" ht="15">
      <c r="A439" s="2290"/>
      <c r="B439" s="2291"/>
      <c r="C439" s="2291"/>
      <c r="D439" s="2291"/>
      <c r="E439" s="2292"/>
      <c r="F439" s="2292" t="s">
        <v>1866</v>
      </c>
      <c r="G439" s="2310" t="s">
        <v>1867</v>
      </c>
      <c r="H439" s="2292" t="s">
        <v>1833</v>
      </c>
      <c r="I439" s="2292"/>
      <c r="J439" s="2294">
        <v>1.83</v>
      </c>
      <c r="K439" s="2364">
        <f>'TH vat tu XD'!G96</f>
        <v>228500</v>
      </c>
      <c r="L439" s="2296"/>
      <c r="M439" s="2295">
        <f>IF(L439=0,J439*K439,J439*K439*L439)</f>
        <v>418155</v>
      </c>
      <c r="N439" s="2298">
        <f>IF(L439=0,I431*J439,I431*J439*L439)</f>
        <v>36.102606000000002</v>
      </c>
      <c r="O439" s="2299"/>
      <c r="P439" s="1952"/>
      <c r="Q439" s="2025"/>
      <c r="R439" s="2025"/>
      <c r="S439" s="2025"/>
    </row>
    <row r="440" spans="1:19" s="474" customFormat="1" ht="15">
      <c r="A440" s="2290"/>
      <c r="B440" s="2291"/>
      <c r="C440" s="2291"/>
      <c r="D440" s="2291"/>
      <c r="E440" s="2292"/>
      <c r="F440" s="2292"/>
      <c r="G440" s="2311" t="s">
        <v>228</v>
      </c>
      <c r="H440" s="2311"/>
      <c r="I440" s="2311"/>
      <c r="J440" s="2314"/>
      <c r="K440" s="2312"/>
      <c r="L440" s="2313"/>
      <c r="M440" s="2312">
        <f>ROUND(SUM(M441:M441),Config!C103)</f>
        <v>1736</v>
      </c>
      <c r="N440" s="2298"/>
      <c r="O440" s="2299"/>
      <c r="P440" s="1952"/>
      <c r="Q440" s="2025"/>
      <c r="R440" s="2025"/>
      <c r="S440" s="2025"/>
    </row>
    <row r="441" spans="1:19" s="474" customFormat="1" ht="15">
      <c r="A441" s="2290"/>
      <c r="B441" s="2291"/>
      <c r="C441" s="2291"/>
      <c r="D441" s="2291"/>
      <c r="E441" s="2292"/>
      <c r="F441" s="2292" t="s">
        <v>1868</v>
      </c>
      <c r="G441" s="2310" t="s">
        <v>1869</v>
      </c>
      <c r="H441" s="2292" t="s">
        <v>1836</v>
      </c>
      <c r="I441" s="2292"/>
      <c r="J441" s="2294">
        <v>3.5999999999999997E-2</v>
      </c>
      <c r="K441" s="2364">
        <f>'TH vat tu XD'!G98</f>
        <v>48226</v>
      </c>
      <c r="L441" s="2296"/>
      <c r="M441" s="2295">
        <f>IF(L441=0,J441*K441,J441*K441*L441)</f>
        <v>1736.136</v>
      </c>
      <c r="N441" s="2298">
        <f>IF(L441=0,I431*J441,I431*J441*L441)</f>
        <v>0.71021519999999994</v>
      </c>
      <c r="O441" s="2299"/>
      <c r="P441" s="1952"/>
      <c r="Q441" s="2025"/>
      <c r="R441" s="2025"/>
      <c r="S441" s="2025"/>
    </row>
    <row r="442" spans="1:19" s="474" customFormat="1" ht="15" hidden="1">
      <c r="A442" s="2290"/>
      <c r="B442" s="2291"/>
      <c r="C442" s="2291"/>
      <c r="D442" s="2291"/>
      <c r="E442" s="2292"/>
      <c r="F442" s="2292"/>
      <c r="G442" s="2293" t="s">
        <v>109</v>
      </c>
      <c r="H442" s="2292"/>
      <c r="I442" s="2292"/>
      <c r="J442" s="2292" t="s">
        <v>333</v>
      </c>
      <c r="K442" s="2295"/>
      <c r="L442" s="2296"/>
      <c r="M442" s="2297">
        <f>M432+M438+M440</f>
        <v>1295670</v>
      </c>
      <c r="N442" s="2298"/>
      <c r="O442" s="2299"/>
      <c r="P442" s="1952"/>
      <c r="Q442" s="2025"/>
      <c r="R442" s="2025"/>
      <c r="S442" s="2025"/>
    </row>
    <row r="443" spans="1:19" s="474" customFormat="1" ht="15" hidden="1">
      <c r="A443" s="2290"/>
      <c r="B443" s="2291"/>
      <c r="C443" s="2291"/>
      <c r="D443" s="2291"/>
      <c r="E443" s="2292"/>
      <c r="F443" s="2292"/>
      <c r="G443" s="2293" t="s">
        <v>378</v>
      </c>
      <c r="H443" s="2292"/>
      <c r="I443" s="2292"/>
      <c r="J443" s="2292" t="str">
        <f ca="1">"T*"&amp;'THCP xay dung'!F106*100&amp;"%"</f>
        <v>T*6,2%</v>
      </c>
      <c r="K443" s="2295"/>
      <c r="L443" s="2296"/>
      <c r="M443" s="2297">
        <f ca="1">M442*'THCP xay dung'!F106*100%</f>
        <v>80331.539999999994</v>
      </c>
      <c r="N443" s="2298"/>
      <c r="O443" s="2299"/>
      <c r="P443" s="1952"/>
      <c r="Q443" s="2025"/>
      <c r="R443" s="2025"/>
      <c r="S443" s="2025"/>
    </row>
    <row r="444" spans="1:19" s="474" customFormat="1" ht="28.5" hidden="1">
      <c r="A444" s="2290"/>
      <c r="B444" s="2291"/>
      <c r="C444" s="2291"/>
      <c r="D444" s="2291"/>
      <c r="E444" s="2292"/>
      <c r="F444" s="2292"/>
      <c r="G444" s="2293" t="s">
        <v>702</v>
      </c>
      <c r="H444" s="2292"/>
      <c r="I444" s="2292"/>
      <c r="J444" s="2292" t="str">
        <f>IF('THCP xay dung'!G107&lt;&gt;1,"T*"&amp;'THCP xay dung'!F107*100&amp;"%"&amp;"*"&amp;'THCP xay dung'!G107,"T*"&amp;'THCP xay dung'!F107*100&amp;"%")</f>
        <v>T*1,1%</v>
      </c>
      <c r="K444" s="2295"/>
      <c r="L444" s="2296"/>
      <c r="M444" s="2297">
        <f>IF('THCP xay dung'!G107&lt;&gt;1,M442*'THCP xay dung'!F107*100%*'THCP xay dung'!G107,M442*'THCP xay dung'!F107*100%)</f>
        <v>14252.37</v>
      </c>
      <c r="N444" s="2298"/>
      <c r="O444" s="2299"/>
      <c r="P444" s="1952"/>
      <c r="Q444" s="2025"/>
      <c r="R444" s="2025"/>
      <c r="S444" s="2025"/>
    </row>
    <row r="445" spans="1:19" s="474" customFormat="1" ht="42.75" hidden="1">
      <c r="A445" s="2290"/>
      <c r="B445" s="2291"/>
      <c r="C445" s="2291"/>
      <c r="D445" s="2291"/>
      <c r="E445" s="2292"/>
      <c r="F445" s="2292"/>
      <c r="G445" s="2293" t="s">
        <v>703</v>
      </c>
      <c r="H445" s="2292"/>
      <c r="I445" s="2292"/>
      <c r="J445" s="2292" t="str">
        <f ca="1">"T*"&amp;'THCP xay dung'!F108*100&amp;"%"</f>
        <v>T*2%</v>
      </c>
      <c r="K445" s="2295"/>
      <c r="L445" s="2296"/>
      <c r="M445" s="2297">
        <f ca="1">M442*'THCP xay dung'!F108*100%</f>
        <v>25913.4</v>
      </c>
      <c r="N445" s="2298"/>
      <c r="O445" s="2299"/>
      <c r="P445" s="1952"/>
      <c r="Q445" s="2025"/>
      <c r="R445" s="2025"/>
      <c r="S445" s="2025"/>
    </row>
    <row r="446" spans="1:19" s="474" customFormat="1" ht="15" hidden="1">
      <c r="A446" s="2290"/>
      <c r="B446" s="2291"/>
      <c r="C446" s="2291"/>
      <c r="D446" s="2291"/>
      <c r="E446" s="2292"/>
      <c r="F446" s="2292"/>
      <c r="G446" s="2293" t="s">
        <v>701</v>
      </c>
      <c r="H446" s="2292"/>
      <c r="I446" s="2292"/>
      <c r="J446" s="2292" t="s">
        <v>931</v>
      </c>
      <c r="K446" s="2295"/>
      <c r="L446" s="2296"/>
      <c r="M446" s="2297">
        <f ca="1">M443+M444+M445</f>
        <v>120497.31</v>
      </c>
      <c r="N446" s="2298"/>
      <c r="O446" s="2299"/>
      <c r="P446" s="1952"/>
      <c r="Q446" s="2025"/>
      <c r="R446" s="2025"/>
      <c r="S446" s="2025"/>
    </row>
    <row r="447" spans="1:19" s="474" customFormat="1" ht="15" hidden="1">
      <c r="A447" s="2290"/>
      <c r="B447" s="2291"/>
      <c r="C447" s="2291"/>
      <c r="D447" s="2291"/>
      <c r="E447" s="2292"/>
      <c r="F447" s="2292"/>
      <c r="G447" s="2293" t="s">
        <v>574</v>
      </c>
      <c r="H447" s="2292"/>
      <c r="I447" s="2292"/>
      <c r="J447" s="2292" t="str">
        <f ca="1">"(T+GT)*"&amp;'THCP xay dung'!F110*100&amp;"%"</f>
        <v>(T+GT)*6%</v>
      </c>
      <c r="K447" s="2295"/>
      <c r="L447" s="2296"/>
      <c r="M447" s="2297">
        <f ca="1">(M442+M446)*'THCP xay dung'!F110*100%</f>
        <v>84970.0386</v>
      </c>
      <c r="N447" s="2298"/>
      <c r="O447" s="2299"/>
      <c r="P447" s="1952"/>
      <c r="Q447" s="2025"/>
      <c r="R447" s="2025"/>
      <c r="S447" s="2025"/>
    </row>
    <row r="448" spans="1:19" s="474" customFormat="1" ht="15" hidden="1">
      <c r="A448" s="2290"/>
      <c r="B448" s="2291"/>
      <c r="C448" s="2291"/>
      <c r="D448" s="2291"/>
      <c r="E448" s="2292"/>
      <c r="F448" s="2292"/>
      <c r="G448" s="2293" t="s">
        <v>113</v>
      </c>
      <c r="H448" s="2292"/>
      <c r="I448" s="2292"/>
      <c r="J448" s="2292" t="s">
        <v>705</v>
      </c>
      <c r="K448" s="2295"/>
      <c r="L448" s="2296"/>
      <c r="M448" s="2297">
        <f ca="1">M442+M446+M447</f>
        <v>1501137.3486000001</v>
      </c>
      <c r="N448" s="2298"/>
      <c r="O448" s="2299"/>
      <c r="P448" s="1952"/>
      <c r="Q448" s="2025"/>
      <c r="R448" s="2025"/>
      <c r="S448" s="2025"/>
    </row>
    <row r="449" spans="1:19" s="474" customFormat="1" ht="15" hidden="1">
      <c r="A449" s="2290"/>
      <c r="B449" s="2291"/>
      <c r="C449" s="2291"/>
      <c r="D449" s="2291"/>
      <c r="E449" s="2292"/>
      <c r="F449" s="2292"/>
      <c r="G449" s="2293" t="s">
        <v>575</v>
      </c>
      <c r="H449" s="2292"/>
      <c r="I449" s="2292"/>
      <c r="J449" s="2292" t="str">
        <f>"G*"&amp;'THCP xay dung'!F112*100&amp;"%"</f>
        <v>G*10%</v>
      </c>
      <c r="K449" s="2295"/>
      <c r="L449" s="2296"/>
      <c r="M449" s="2297">
        <f ca="1">M448*'THCP xay dung'!F112*100%</f>
        <v>150113.73486000003</v>
      </c>
      <c r="N449" s="2298"/>
      <c r="O449" s="2299"/>
      <c r="P449" s="1952"/>
      <c r="Q449" s="2025"/>
      <c r="R449" s="2025"/>
      <c r="S449" s="2025"/>
    </row>
    <row r="450" spans="1:19" s="474" customFormat="1" ht="15" hidden="1">
      <c r="A450" s="2290"/>
      <c r="B450" s="2291"/>
      <c r="C450" s="2291"/>
      <c r="D450" s="2291"/>
      <c r="E450" s="2292"/>
      <c r="F450" s="2292"/>
      <c r="G450" s="2293" t="s">
        <v>117</v>
      </c>
      <c r="H450" s="2292"/>
      <c r="I450" s="2292"/>
      <c r="J450" s="2292" t="s">
        <v>596</v>
      </c>
      <c r="K450" s="2295"/>
      <c r="L450" s="2296"/>
      <c r="M450" s="2297">
        <f ca="1">M448+M449</f>
        <v>1651251.0834600001</v>
      </c>
      <c r="N450" s="2298"/>
      <c r="O450" s="2299"/>
      <c r="P450" s="1952"/>
      <c r="Q450" s="2025"/>
      <c r="R450" s="2025"/>
      <c r="S450" s="2025"/>
    </row>
    <row r="451" spans="1:19" s="474" customFormat="1" ht="15" hidden="1">
      <c r="A451" s="2290"/>
      <c r="B451" s="2291"/>
      <c r="C451" s="2291"/>
      <c r="D451" s="2291"/>
      <c r="E451" s="2292"/>
      <c r="F451" s="2292"/>
      <c r="G451" s="2293" t="s">
        <v>168</v>
      </c>
      <c r="H451" s="2292"/>
      <c r="I451" s="2292"/>
      <c r="J451" s="2292" t="str">
        <f ca="1">"GXD*"&amp;'THCP xay dung'!F114*100&amp;"%"</f>
        <v>GXD*6%</v>
      </c>
      <c r="K451" s="2295"/>
      <c r="L451" s="2296"/>
      <c r="M451" s="2297">
        <f ca="1">M450*'THCP xay dung'!F114*100%</f>
        <v>99075.065007600002</v>
      </c>
      <c r="N451" s="2298"/>
      <c r="O451" s="2299"/>
      <c r="P451" s="1952"/>
      <c r="Q451" s="2025"/>
      <c r="R451" s="2025"/>
      <c r="S451" s="2025"/>
    </row>
    <row r="452" spans="1:19" s="474" customFormat="1" ht="15" hidden="1">
      <c r="A452" s="2315" t="s">
        <v>304</v>
      </c>
      <c r="B452" s="2316"/>
      <c r="C452" s="2316"/>
      <c r="D452" s="2316"/>
      <c r="E452" s="2317"/>
      <c r="F452" s="2317"/>
      <c r="G452" s="2303" t="s">
        <v>1837</v>
      </c>
      <c r="H452" s="2302"/>
      <c r="I452" s="2302"/>
      <c r="J452" s="2302" t="s">
        <v>1636</v>
      </c>
      <c r="K452" s="2304"/>
      <c r="L452" s="2305"/>
      <c r="M452" s="2306">
        <f ca="1">M450+M451</f>
        <v>1750326.1484676001</v>
      </c>
      <c r="N452" s="2307"/>
      <c r="O452" s="2308"/>
      <c r="P452" s="1952"/>
      <c r="Q452" s="2025"/>
      <c r="R452" s="2025"/>
      <c r="S452" s="2025"/>
    </row>
    <row r="453" spans="1:19" s="474" customFormat="1" ht="45">
      <c r="A453" s="2248">
        <v>83</v>
      </c>
      <c r="B453" s="2266">
        <f>'Du toan XD'!B198</f>
        <v>3</v>
      </c>
      <c r="C453" s="2266" t="s">
        <v>1932</v>
      </c>
      <c r="D453" s="2266" t="s">
        <v>1942</v>
      </c>
      <c r="E453" s="2248" t="s">
        <v>1558</v>
      </c>
      <c r="F453" s="2248"/>
      <c r="G453" s="2267" t="str">
        <f>'Du toan XD'!F198</f>
        <v>Xây móng bằng gạch đất sét nung 5x10x20, chiều dày ≤30cm, vữa XM PCB40 mác 50</v>
      </c>
      <c r="H453" s="2248" t="str">
        <f>'Du toan XD'!G198</f>
        <v>m³</v>
      </c>
      <c r="I453" s="2248">
        <f>'Du toan XD'!H198</f>
        <v>2.4056999999999999</v>
      </c>
      <c r="J453" s="2249"/>
      <c r="K453" s="2250"/>
      <c r="L453" s="2251"/>
      <c r="M453" s="2250"/>
      <c r="N453" s="2131"/>
      <c r="O453" s="2131"/>
      <c r="P453" s="1952">
        <f>M454</f>
        <v>834076</v>
      </c>
      <c r="Q453" s="2025"/>
      <c r="R453" s="2025">
        <f>M459</f>
        <v>365600</v>
      </c>
      <c r="S453" s="2025">
        <f>M461</f>
        <v>1736</v>
      </c>
    </row>
    <row r="454" spans="1:19" s="474" customFormat="1" ht="15">
      <c r="A454" s="2253"/>
      <c r="B454" s="2268"/>
      <c r="C454" s="2268"/>
      <c r="D454" s="2268"/>
      <c r="E454" s="2253"/>
      <c r="F454" s="2253"/>
      <c r="G454" s="2271" t="s">
        <v>224</v>
      </c>
      <c r="H454" s="2271"/>
      <c r="I454" s="2271"/>
      <c r="J454" s="2274"/>
      <c r="K454" s="2272"/>
      <c r="L454" s="2273"/>
      <c r="M454" s="2272">
        <f>ROUND(SUM(M455:M458),Config!C103)</f>
        <v>834076</v>
      </c>
      <c r="N454" s="2258"/>
      <c r="O454" s="2258"/>
      <c r="P454" s="1952"/>
      <c r="Q454" s="2025"/>
      <c r="R454" s="2025"/>
      <c r="S454" s="2025"/>
    </row>
    <row r="455" spans="1:19" s="474" customFormat="1" ht="15">
      <c r="A455" s="2253"/>
      <c r="B455" s="2268"/>
      <c r="C455" s="2268" t="s">
        <v>1932</v>
      </c>
      <c r="D455" s="2268"/>
      <c r="E455" s="2253"/>
      <c r="F455" s="2253" t="s">
        <v>1901</v>
      </c>
      <c r="G455" s="2269" t="s">
        <v>1902</v>
      </c>
      <c r="H455" s="2253" t="s">
        <v>1856</v>
      </c>
      <c r="I455" s="2253"/>
      <c r="J455" s="2254">
        <f>190*0.3</f>
        <v>57</v>
      </c>
      <c r="K455" s="2363">
        <f>'TH vat tu XD'!G93</f>
        <v>1380</v>
      </c>
      <c r="L455" s="2256"/>
      <c r="M455" s="2255">
        <f>IF(L455=0,J455*K455,J455*K455*L455)</f>
        <v>78660</v>
      </c>
      <c r="N455" s="2258">
        <f>IF(L455=0,I453*J455,I453*J455*L455)</f>
        <v>137.1249</v>
      </c>
      <c r="O455" s="2258"/>
      <c r="P455" s="1952"/>
      <c r="Q455" s="2025"/>
      <c r="R455" s="2025"/>
      <c r="S455" s="2025"/>
    </row>
    <row r="456" spans="1:19" s="474" customFormat="1" ht="15">
      <c r="A456" s="2253"/>
      <c r="B456" s="2268"/>
      <c r="C456" s="2268" t="s">
        <v>1932</v>
      </c>
      <c r="D456" s="2268"/>
      <c r="E456" s="2253"/>
      <c r="F456" s="2253" t="s">
        <v>1935</v>
      </c>
      <c r="G456" s="2269" t="s">
        <v>1936</v>
      </c>
      <c r="H456" s="2253" t="s">
        <v>1848</v>
      </c>
      <c r="I456" s="2253"/>
      <c r="J456" s="2254">
        <f>1.232*0.3</f>
        <v>0.36959999999999998</v>
      </c>
      <c r="K456" s="2363">
        <f>'TH vat tu XD'!G90</f>
        <v>85000</v>
      </c>
      <c r="L456" s="2256"/>
      <c r="M456" s="2255">
        <f>IF(L456=0,J456*K456,J456*K456*L456)</f>
        <v>31416</v>
      </c>
      <c r="N456" s="2258">
        <f>IF(L456=0,I453*J456,I453*J456*L456)</f>
        <v>0.88914671999999995</v>
      </c>
      <c r="O456" s="2258"/>
      <c r="P456" s="1952"/>
      <c r="Q456" s="2025"/>
      <c r="R456" s="2025"/>
      <c r="S456" s="2025"/>
    </row>
    <row r="457" spans="1:19" s="474" customFormat="1" ht="15">
      <c r="A457" s="2253"/>
      <c r="B457" s="2268"/>
      <c r="C457" s="2268" t="s">
        <v>1932</v>
      </c>
      <c r="D457" s="2268"/>
      <c r="E457" s="2253"/>
      <c r="F457" s="2253" t="s">
        <v>1859</v>
      </c>
      <c r="G457" s="2269" t="s">
        <v>1860</v>
      </c>
      <c r="H457" s="2253" t="s">
        <v>1861</v>
      </c>
      <c r="I457" s="2253"/>
      <c r="J457" s="2254">
        <f>279*0.3</f>
        <v>83.7</v>
      </c>
      <c r="K457" s="2363">
        <f>'TH vat tu XD'!G92</f>
        <v>8</v>
      </c>
      <c r="L457" s="2256"/>
      <c r="M457" s="2255">
        <f>IF(L457=0,J457*K457,J457*K457*L457)</f>
        <v>669.6</v>
      </c>
      <c r="N457" s="2258">
        <f>IF(L457=0,I453*J457,I453*J457*L457)</f>
        <v>201.35709</v>
      </c>
      <c r="O457" s="2258"/>
      <c r="P457" s="1952"/>
      <c r="Q457" s="2025"/>
      <c r="R457" s="2025"/>
      <c r="S457" s="2025"/>
    </row>
    <row r="458" spans="1:19" s="474" customFormat="1" ht="15">
      <c r="A458" s="2253"/>
      <c r="B458" s="2268"/>
      <c r="C458" s="2268"/>
      <c r="D458" s="2268"/>
      <c r="E458" s="2253"/>
      <c r="F458" s="2253" t="s">
        <v>1937</v>
      </c>
      <c r="G458" s="2269" t="s">
        <v>1938</v>
      </c>
      <c r="H458" s="2253" t="s">
        <v>1939</v>
      </c>
      <c r="I458" s="2253"/>
      <c r="J458" s="2254">
        <v>810</v>
      </c>
      <c r="K458" s="2363">
        <f>'TH vat tu XD'!G91</f>
        <v>893</v>
      </c>
      <c r="L458" s="2256"/>
      <c r="M458" s="2255">
        <f>IF(L458=0,J458*K458,J458*K458*L458)</f>
        <v>723330</v>
      </c>
      <c r="N458" s="2258">
        <f>IF(L458=0,I453*J458,I453*J458*L458)</f>
        <v>1948.617</v>
      </c>
      <c r="O458" s="2258"/>
      <c r="P458" s="1952"/>
      <c r="Q458" s="2025"/>
      <c r="R458" s="2025"/>
      <c r="S458" s="2025"/>
    </row>
    <row r="459" spans="1:19" s="474" customFormat="1" ht="15">
      <c r="A459" s="2253"/>
      <c r="B459" s="2268"/>
      <c r="C459" s="2268"/>
      <c r="D459" s="2268"/>
      <c r="E459" s="2253"/>
      <c r="F459" s="2253"/>
      <c r="G459" s="2271" t="s">
        <v>225</v>
      </c>
      <c r="H459" s="2271"/>
      <c r="I459" s="2271"/>
      <c r="J459" s="2274"/>
      <c r="K459" s="2272"/>
      <c r="L459" s="2273"/>
      <c r="M459" s="2272">
        <f>ROUND(SUM(M460:M460),Config!C103)</f>
        <v>365600</v>
      </c>
      <c r="N459" s="2258"/>
      <c r="O459" s="2258"/>
      <c r="P459" s="1952"/>
      <c r="Q459" s="2025"/>
      <c r="R459" s="2025"/>
      <c r="S459" s="2025"/>
    </row>
    <row r="460" spans="1:19" s="474" customFormat="1" ht="15">
      <c r="A460" s="2253"/>
      <c r="B460" s="2268"/>
      <c r="C460" s="2268"/>
      <c r="D460" s="2268"/>
      <c r="E460" s="2253"/>
      <c r="F460" s="2253" t="s">
        <v>1866</v>
      </c>
      <c r="G460" s="2269" t="s">
        <v>1867</v>
      </c>
      <c r="H460" s="2253" t="s">
        <v>1833</v>
      </c>
      <c r="I460" s="2253"/>
      <c r="J460" s="2254">
        <v>1.6</v>
      </c>
      <c r="K460" s="2363">
        <f>'TH vat tu XD'!G96</f>
        <v>228500</v>
      </c>
      <c r="L460" s="2256"/>
      <c r="M460" s="2255">
        <f>IF(L460=0,J460*K460,J460*K460*L460)</f>
        <v>365600</v>
      </c>
      <c r="N460" s="2258">
        <f>IF(L460=0,I453*J460,I453*J460*L460)</f>
        <v>3.8491200000000001</v>
      </c>
      <c r="O460" s="2258"/>
      <c r="P460" s="1952"/>
      <c r="Q460" s="2025"/>
      <c r="R460" s="2025"/>
      <c r="S460" s="2025"/>
    </row>
    <row r="461" spans="1:19" s="474" customFormat="1" ht="15">
      <c r="A461" s="2253"/>
      <c r="B461" s="2268"/>
      <c r="C461" s="2268"/>
      <c r="D461" s="2268"/>
      <c r="E461" s="2253"/>
      <c r="F461" s="2253"/>
      <c r="G461" s="2271" t="s">
        <v>228</v>
      </c>
      <c r="H461" s="2271"/>
      <c r="I461" s="2271"/>
      <c r="J461" s="2274"/>
      <c r="K461" s="2272"/>
      <c r="L461" s="2273"/>
      <c r="M461" s="2272">
        <f>ROUND(SUM(M462:M462),Config!C103)</f>
        <v>1736</v>
      </c>
      <c r="N461" s="2258"/>
      <c r="O461" s="2258"/>
      <c r="P461" s="1952"/>
      <c r="Q461" s="2025"/>
      <c r="R461" s="2025"/>
      <c r="S461" s="2025"/>
    </row>
    <row r="462" spans="1:19" s="474" customFormat="1" ht="15">
      <c r="A462" s="2253"/>
      <c r="B462" s="2268"/>
      <c r="C462" s="2268"/>
      <c r="D462" s="2268"/>
      <c r="E462" s="2253"/>
      <c r="F462" s="2253" t="s">
        <v>1868</v>
      </c>
      <c r="G462" s="2269" t="s">
        <v>1869</v>
      </c>
      <c r="H462" s="2253" t="s">
        <v>1836</v>
      </c>
      <c r="I462" s="2253"/>
      <c r="J462" s="2254">
        <v>3.5999999999999997E-2</v>
      </c>
      <c r="K462" s="2363">
        <f>'TH vat tu XD'!G98</f>
        <v>48226</v>
      </c>
      <c r="L462" s="2256"/>
      <c r="M462" s="2255">
        <f>IF(L462=0,J462*K462,J462*K462*L462)</f>
        <v>1736.136</v>
      </c>
      <c r="N462" s="2258">
        <f>IF(L462=0,I453*J462,I453*J462*L462)</f>
        <v>8.6605199999999993E-2</v>
      </c>
      <c r="O462" s="2258"/>
      <c r="P462" s="1952"/>
      <c r="Q462" s="2025"/>
      <c r="R462" s="2025"/>
      <c r="S462" s="2025"/>
    </row>
    <row r="463" spans="1:19" s="474" customFormat="1" ht="15" hidden="1">
      <c r="A463" s="2253"/>
      <c r="B463" s="2268"/>
      <c r="C463" s="2268"/>
      <c r="D463" s="2268"/>
      <c r="E463" s="2253"/>
      <c r="F463" s="2253"/>
      <c r="G463" s="2252" t="s">
        <v>109</v>
      </c>
      <c r="H463" s="2253"/>
      <c r="I463" s="2253"/>
      <c r="J463" s="2253" t="s">
        <v>333</v>
      </c>
      <c r="K463" s="2255"/>
      <c r="L463" s="2256"/>
      <c r="M463" s="2257">
        <f>M454+M459+M461</f>
        <v>1201412</v>
      </c>
      <c r="N463" s="2258"/>
      <c r="O463" s="2258"/>
      <c r="P463" s="1952"/>
      <c r="Q463" s="2025"/>
      <c r="R463" s="2025"/>
      <c r="S463" s="2025"/>
    </row>
    <row r="464" spans="1:19" s="474" customFormat="1" ht="15" hidden="1">
      <c r="A464" s="2253"/>
      <c r="B464" s="2268"/>
      <c r="C464" s="2268"/>
      <c r="D464" s="2268"/>
      <c r="E464" s="2253"/>
      <c r="F464" s="2253"/>
      <c r="G464" s="2252" t="s">
        <v>378</v>
      </c>
      <c r="H464" s="2253"/>
      <c r="I464" s="2253"/>
      <c r="J464" s="2253" t="str">
        <f ca="1">"T*"&amp;'THCP xay dung'!F106*100&amp;"%"</f>
        <v>T*6,2%</v>
      </c>
      <c r="K464" s="2255"/>
      <c r="L464" s="2256"/>
      <c r="M464" s="2257">
        <f ca="1">M463*'THCP xay dung'!F106*100%</f>
        <v>74487.543999999994</v>
      </c>
      <c r="N464" s="2258"/>
      <c r="O464" s="2258"/>
      <c r="P464" s="1952"/>
      <c r="Q464" s="2025"/>
      <c r="R464" s="2025"/>
      <c r="S464" s="2025"/>
    </row>
    <row r="465" spans="1:19" s="474" customFormat="1" ht="28.5" hidden="1">
      <c r="A465" s="2253"/>
      <c r="B465" s="2268"/>
      <c r="C465" s="2268"/>
      <c r="D465" s="2268"/>
      <c r="E465" s="2253"/>
      <c r="F465" s="2253"/>
      <c r="G465" s="2252" t="s">
        <v>702</v>
      </c>
      <c r="H465" s="2253"/>
      <c r="I465" s="2253"/>
      <c r="J465" s="2253" t="str">
        <f>IF('THCP xay dung'!G107&lt;&gt;1,"T*"&amp;'THCP xay dung'!F107*100&amp;"%"&amp;"*"&amp;'THCP xay dung'!G107,"T*"&amp;'THCP xay dung'!F107*100&amp;"%")</f>
        <v>T*1,1%</v>
      </c>
      <c r="K465" s="2255"/>
      <c r="L465" s="2256"/>
      <c r="M465" s="2257">
        <f>IF('THCP xay dung'!G107&lt;&gt;1,M463*'THCP xay dung'!F107*100%*'THCP xay dung'!G107,M463*'THCP xay dung'!F107*100%)</f>
        <v>13215.532000000001</v>
      </c>
      <c r="N465" s="2258"/>
      <c r="O465" s="2258"/>
      <c r="P465" s="1952"/>
      <c r="Q465" s="2025"/>
      <c r="R465" s="2025"/>
      <c r="S465" s="2025"/>
    </row>
    <row r="466" spans="1:19" s="474" customFormat="1" ht="42.75" hidden="1">
      <c r="A466" s="2253"/>
      <c r="B466" s="2268"/>
      <c r="C466" s="2268"/>
      <c r="D466" s="2268"/>
      <c r="E466" s="2253"/>
      <c r="F466" s="2253"/>
      <c r="G466" s="2252" t="s">
        <v>703</v>
      </c>
      <c r="H466" s="2253"/>
      <c r="I466" s="2253"/>
      <c r="J466" s="2253" t="str">
        <f ca="1">"T*"&amp;'THCP xay dung'!F108*100&amp;"%"</f>
        <v>T*2%</v>
      </c>
      <c r="K466" s="2255"/>
      <c r="L466" s="2256"/>
      <c r="M466" s="2257">
        <f ca="1">M463*'THCP xay dung'!F108*100%</f>
        <v>24028.240000000002</v>
      </c>
      <c r="N466" s="2258"/>
      <c r="O466" s="2258"/>
      <c r="P466" s="1952"/>
      <c r="Q466" s="2025"/>
      <c r="R466" s="2025"/>
      <c r="S466" s="2025"/>
    </row>
    <row r="467" spans="1:19" s="474" customFormat="1" ht="15" hidden="1">
      <c r="A467" s="2253"/>
      <c r="B467" s="2268"/>
      <c r="C467" s="2268"/>
      <c r="D467" s="2268"/>
      <c r="E467" s="2253"/>
      <c r="F467" s="2253"/>
      <c r="G467" s="2252" t="s">
        <v>701</v>
      </c>
      <c r="H467" s="2253"/>
      <c r="I467" s="2253"/>
      <c r="J467" s="2253" t="s">
        <v>931</v>
      </c>
      <c r="K467" s="2255"/>
      <c r="L467" s="2256"/>
      <c r="M467" s="2257">
        <f ca="1">M464+M465+M466</f>
        <v>111731.31600000001</v>
      </c>
      <c r="N467" s="2258"/>
      <c r="O467" s="2258"/>
      <c r="P467" s="1952"/>
      <c r="Q467" s="2025"/>
      <c r="R467" s="2025"/>
      <c r="S467" s="2025"/>
    </row>
    <row r="468" spans="1:19" s="474" customFormat="1" ht="15" hidden="1">
      <c r="A468" s="2253"/>
      <c r="B468" s="2268"/>
      <c r="C468" s="2268"/>
      <c r="D468" s="2268"/>
      <c r="E468" s="2253"/>
      <c r="F468" s="2253"/>
      <c r="G468" s="2252" t="s">
        <v>574</v>
      </c>
      <c r="H468" s="2253"/>
      <c r="I468" s="2253"/>
      <c r="J468" s="2253" t="str">
        <f ca="1">"(T+GT)*"&amp;'THCP xay dung'!F110*100&amp;"%"</f>
        <v>(T+GT)*6%</v>
      </c>
      <c r="K468" s="2255"/>
      <c r="L468" s="2256"/>
      <c r="M468" s="2257">
        <f ca="1">(M463+M467)*'THCP xay dung'!F110*100%</f>
        <v>78788.598960000003</v>
      </c>
      <c r="N468" s="2258"/>
      <c r="O468" s="2258"/>
      <c r="P468" s="1952"/>
      <c r="Q468" s="2025"/>
      <c r="R468" s="2025"/>
      <c r="S468" s="2025"/>
    </row>
    <row r="469" spans="1:19" s="474" customFormat="1" ht="15" hidden="1">
      <c r="A469" s="2253"/>
      <c r="B469" s="2268"/>
      <c r="C469" s="2268"/>
      <c r="D469" s="2268"/>
      <c r="E469" s="2253"/>
      <c r="F469" s="2253"/>
      <c r="G469" s="2252" t="s">
        <v>113</v>
      </c>
      <c r="H469" s="2253"/>
      <c r="I469" s="2253"/>
      <c r="J469" s="2253" t="s">
        <v>705</v>
      </c>
      <c r="K469" s="2255"/>
      <c r="L469" s="2256"/>
      <c r="M469" s="2257">
        <f ca="1">M463+M467+M468</f>
        <v>1391931.9149600002</v>
      </c>
      <c r="N469" s="2258"/>
      <c r="O469" s="2258"/>
      <c r="P469" s="1952"/>
      <c r="Q469" s="2025"/>
      <c r="R469" s="2025"/>
      <c r="S469" s="2025"/>
    </row>
    <row r="470" spans="1:19" s="474" customFormat="1" ht="15" hidden="1">
      <c r="A470" s="2253"/>
      <c r="B470" s="2268"/>
      <c r="C470" s="2268"/>
      <c r="D470" s="2268"/>
      <c r="E470" s="2253"/>
      <c r="F470" s="2253"/>
      <c r="G470" s="2252" t="s">
        <v>575</v>
      </c>
      <c r="H470" s="2253"/>
      <c r="I470" s="2253"/>
      <c r="J470" s="2253" t="str">
        <f>"G*"&amp;'THCP xay dung'!F112*100&amp;"%"</f>
        <v>G*10%</v>
      </c>
      <c r="K470" s="2255"/>
      <c r="L470" s="2256"/>
      <c r="M470" s="2257">
        <f ca="1">M469*'THCP xay dung'!F112*100%</f>
        <v>139193.19149600001</v>
      </c>
      <c r="N470" s="2258"/>
      <c r="O470" s="2258"/>
      <c r="P470" s="1952"/>
      <c r="Q470" s="2025"/>
      <c r="R470" s="2025"/>
      <c r="S470" s="2025"/>
    </row>
    <row r="471" spans="1:19" s="474" customFormat="1" ht="15" hidden="1">
      <c r="A471" s="2253"/>
      <c r="B471" s="2268"/>
      <c r="C471" s="2268"/>
      <c r="D471" s="2268"/>
      <c r="E471" s="2253"/>
      <c r="F471" s="2253"/>
      <c r="G471" s="2252" t="s">
        <v>117</v>
      </c>
      <c r="H471" s="2253"/>
      <c r="I471" s="2253"/>
      <c r="J471" s="2253" t="s">
        <v>596</v>
      </c>
      <c r="K471" s="2255"/>
      <c r="L471" s="2256"/>
      <c r="M471" s="2257">
        <f ca="1">M469+M470</f>
        <v>1531125.1064560001</v>
      </c>
      <c r="N471" s="2258"/>
      <c r="O471" s="2258"/>
      <c r="P471" s="1952"/>
      <c r="Q471" s="2025"/>
      <c r="R471" s="2025"/>
      <c r="S471" s="2025"/>
    </row>
    <row r="472" spans="1:19" s="474" customFormat="1" ht="15" hidden="1">
      <c r="A472" s="2253"/>
      <c r="B472" s="2268"/>
      <c r="C472" s="2268"/>
      <c r="D472" s="2268"/>
      <c r="E472" s="2253"/>
      <c r="F472" s="2253"/>
      <c r="G472" s="2252" t="s">
        <v>168</v>
      </c>
      <c r="H472" s="2253"/>
      <c r="I472" s="2253"/>
      <c r="J472" s="2253" t="str">
        <f ca="1">"GXD*"&amp;'THCP xay dung'!F114*100&amp;"%"</f>
        <v>GXD*6%</v>
      </c>
      <c r="K472" s="2255"/>
      <c r="L472" s="2256"/>
      <c r="M472" s="2257">
        <f ca="1">M471*'THCP xay dung'!F114*100%</f>
        <v>91867.506387360001</v>
      </c>
      <c r="N472" s="2258"/>
      <c r="O472" s="2258"/>
      <c r="P472" s="1952"/>
      <c r="Q472" s="2025"/>
      <c r="R472" s="2025"/>
      <c r="S472" s="2025"/>
    </row>
    <row r="473" spans="1:19" s="474" customFormat="1" ht="15" hidden="1">
      <c r="A473" s="2262" t="s">
        <v>304</v>
      </c>
      <c r="B473" s="2270"/>
      <c r="C473" s="2270"/>
      <c r="D473" s="2270"/>
      <c r="E473" s="2262"/>
      <c r="F473" s="2262"/>
      <c r="G473" s="2261" t="s">
        <v>1837</v>
      </c>
      <c r="H473" s="2262"/>
      <c r="I473" s="2262"/>
      <c r="J473" s="2262" t="s">
        <v>1636</v>
      </c>
      <c r="K473" s="2263"/>
      <c r="L473" s="2264"/>
      <c r="M473" s="2265">
        <f ca="1">M471+M472</f>
        <v>1622992.6128433601</v>
      </c>
      <c r="N473" s="2064"/>
      <c r="O473" s="2064"/>
      <c r="P473" s="1952"/>
      <c r="Q473" s="2025"/>
      <c r="R473" s="2025"/>
      <c r="S473" s="2025"/>
    </row>
    <row r="474" spans="1:19" s="474" customFormat="1" ht="15">
      <c r="A474" s="2136" t="str">
        <f>'Du toan XD'!A207</f>
        <v>HM4</v>
      </c>
      <c r="B474" s="2137" t="str">
        <f>'Du toan XD'!E207</f>
        <v>HM</v>
      </c>
      <c r="C474" s="2137"/>
      <c r="D474" s="2137"/>
      <c r="E474" s="2138"/>
      <c r="F474" s="2138"/>
      <c r="G474" s="2138" t="str">
        <f>'Du toan XD'!F207</f>
        <v>HỆ KÉT CẤU MÁI</v>
      </c>
      <c r="H474" s="2139"/>
      <c r="I474" s="2139"/>
      <c r="J474" s="1953"/>
      <c r="K474" s="1954"/>
      <c r="L474" s="1953"/>
      <c r="M474" s="1955"/>
      <c r="N474" s="2025"/>
      <c r="O474" s="2025"/>
      <c r="P474" s="2025"/>
      <c r="Q474" s="2025"/>
      <c r="R474" s="2025"/>
      <c r="S474" s="2025"/>
    </row>
    <row r="475" spans="1:19" s="474" customFormat="1" ht="15">
      <c r="A475" s="2042">
        <v>84</v>
      </c>
      <c r="B475" s="2043">
        <f>'Du toan XD'!B208</f>
        <v>1</v>
      </c>
      <c r="C475" s="2043"/>
      <c r="D475" s="2043" t="s">
        <v>1559</v>
      </c>
      <c r="E475" s="2044" t="s">
        <v>1559</v>
      </c>
      <c r="F475" s="2044"/>
      <c r="G475" s="2045" t="str">
        <f>'Du toan XD'!F208</f>
        <v>Gia công xà gồ thép</v>
      </c>
      <c r="H475" s="2044" t="str">
        <f>'Du toan XD'!G208</f>
        <v>tấn</v>
      </c>
      <c r="I475" s="2044">
        <f>'Du toan XD'!H208</f>
        <v>0.2356</v>
      </c>
      <c r="J475" s="2046"/>
      <c r="K475" s="2047"/>
      <c r="L475" s="2046"/>
      <c r="M475" s="2047"/>
      <c r="N475" s="2048"/>
      <c r="O475" s="2049"/>
      <c r="P475" s="1952">
        <f>M476</f>
        <v>21809970</v>
      </c>
      <c r="Q475" s="2025"/>
      <c r="R475" s="2025">
        <f>M481</f>
        <v>1394000</v>
      </c>
      <c r="S475" s="2025"/>
    </row>
    <row r="476" spans="1:19" s="474" customFormat="1" ht="15">
      <c r="A476" s="2050"/>
      <c r="B476" s="2051"/>
      <c r="C476" s="2051"/>
      <c r="D476" s="2051"/>
      <c r="E476" s="2052"/>
      <c r="F476" s="2052"/>
      <c r="G476" s="2067" t="s">
        <v>224</v>
      </c>
      <c r="H476" s="2067"/>
      <c r="I476" s="2067"/>
      <c r="J476" s="2071"/>
      <c r="K476" s="2069"/>
      <c r="L476" s="2070"/>
      <c r="M476" s="2069">
        <f>ROUND(SUM(M477:M480),Config!C103)</f>
        <v>21809970</v>
      </c>
      <c r="N476" s="2056"/>
      <c r="O476" s="2057"/>
      <c r="P476" s="1952"/>
      <c r="Q476" s="2025"/>
      <c r="R476" s="2025"/>
      <c r="S476" s="2025"/>
    </row>
    <row r="477" spans="1:19" s="474" customFormat="1" ht="15">
      <c r="A477" s="2050"/>
      <c r="B477" s="2051"/>
      <c r="C477" s="2051"/>
      <c r="D477" s="2051"/>
      <c r="E477" s="2052"/>
      <c r="F477" s="2052" t="s">
        <v>1944</v>
      </c>
      <c r="G477" s="2053" t="s">
        <v>1945</v>
      </c>
      <c r="H477" s="2052" t="s">
        <v>1856</v>
      </c>
      <c r="I477" s="2052"/>
      <c r="J477" s="2054">
        <v>1025</v>
      </c>
      <c r="K477" s="2170">
        <f>'TH vat tu XD'!G113</f>
        <v>21150</v>
      </c>
      <c r="L477" s="2054"/>
      <c r="M477" s="2055">
        <f>IF(L477=0,J477*K477,J477*K477*L477)</f>
        <v>21678750</v>
      </c>
      <c r="N477" s="2056">
        <f>IF(L477=0,I475*J477,I475*J477*L477)</f>
        <v>241.49</v>
      </c>
      <c r="O477" s="2057">
        <f>J480%*N477</f>
        <v>1.2074500000000001</v>
      </c>
      <c r="P477" s="1952"/>
      <c r="Q477" s="2025"/>
      <c r="R477" s="2025"/>
      <c r="S477" s="2025"/>
    </row>
    <row r="478" spans="1:19" s="474" customFormat="1" ht="15">
      <c r="A478" s="2050"/>
      <c r="B478" s="2051"/>
      <c r="C478" s="2051"/>
      <c r="D478" s="2051"/>
      <c r="E478" s="2052"/>
      <c r="F478" s="2052" t="s">
        <v>1946</v>
      </c>
      <c r="G478" s="2053" t="s">
        <v>1947</v>
      </c>
      <c r="H478" s="2052" t="s">
        <v>1948</v>
      </c>
      <c r="I478" s="2052"/>
      <c r="J478" s="2054">
        <v>0.23200000000000001</v>
      </c>
      <c r="K478" s="2170">
        <f>'TH vat tu XD'!G111</f>
        <v>40400</v>
      </c>
      <c r="L478" s="2054"/>
      <c r="M478" s="2055">
        <f>IF(L478=0,J478*K478,J478*K478*L478)</f>
        <v>9372.8000000000011</v>
      </c>
      <c r="N478" s="2056">
        <f>IF(L478=0,I475*J478,I475*J478*L478)</f>
        <v>5.4659200000000005E-2</v>
      </c>
      <c r="O478" s="2057">
        <f>J480%*N478</f>
        <v>2.7329600000000002E-4</v>
      </c>
      <c r="P478" s="1952"/>
      <c r="Q478" s="2025"/>
      <c r="R478" s="2025"/>
      <c r="S478" s="2025"/>
    </row>
    <row r="479" spans="1:19" s="474" customFormat="1" ht="15">
      <c r="A479" s="2050"/>
      <c r="B479" s="2051"/>
      <c r="C479" s="2051"/>
      <c r="D479" s="2051"/>
      <c r="E479" s="2052"/>
      <c r="F479" s="2052" t="s">
        <v>1949</v>
      </c>
      <c r="G479" s="2053" t="s">
        <v>1950</v>
      </c>
      <c r="H479" s="2052" t="s">
        <v>1856</v>
      </c>
      <c r="I479" s="2052"/>
      <c r="J479" s="2054">
        <v>0.46</v>
      </c>
      <c r="K479" s="2170">
        <f>'TH vat tu XD'!G109</f>
        <v>29000</v>
      </c>
      <c r="L479" s="2054"/>
      <c r="M479" s="2055">
        <f>IF(L479=0,J479*K479,J479*K479*L479)</f>
        <v>13340</v>
      </c>
      <c r="N479" s="2056">
        <f>IF(L479=0,I475*J479,I475*J479*L479)</f>
        <v>0.108376</v>
      </c>
      <c r="O479" s="2057">
        <f>J480%*N479</f>
        <v>5.4188000000000001E-4</v>
      </c>
      <c r="P479" s="1952"/>
      <c r="Q479" s="2025"/>
      <c r="R479" s="2025"/>
      <c r="S479" s="2025"/>
    </row>
    <row r="480" spans="1:19" s="474" customFormat="1" ht="15">
      <c r="A480" s="2050"/>
      <c r="B480" s="2051"/>
      <c r="C480" s="2051"/>
      <c r="D480" s="2051"/>
      <c r="E480" s="2052"/>
      <c r="F480" s="2052" t="s">
        <v>1882</v>
      </c>
      <c r="G480" s="2053" t="s">
        <v>226</v>
      </c>
      <c r="H480" s="2052" t="s">
        <v>1850</v>
      </c>
      <c r="I480" s="2052"/>
      <c r="J480" s="2054">
        <v>0.5</v>
      </c>
      <c r="K480" s="2055"/>
      <c r="L480" s="2054"/>
      <c r="M480" s="2055">
        <f>SUM(M477:M479)*J480%</f>
        <v>108507.31400000001</v>
      </c>
      <c r="N480" s="2056"/>
      <c r="O480" s="2057"/>
      <c r="P480" s="1952"/>
      <c r="Q480" s="2025"/>
      <c r="R480" s="2025"/>
      <c r="S480" s="2025"/>
    </row>
    <row r="481" spans="1:19" s="474" customFormat="1" ht="15">
      <c r="A481" s="2050"/>
      <c r="B481" s="2051"/>
      <c r="C481" s="2051"/>
      <c r="D481" s="2051"/>
      <c r="E481" s="2052"/>
      <c r="F481" s="2052"/>
      <c r="G481" s="2067" t="s">
        <v>225</v>
      </c>
      <c r="H481" s="2067"/>
      <c r="I481" s="2067"/>
      <c r="J481" s="2071"/>
      <c r="K481" s="2069"/>
      <c r="L481" s="2070"/>
      <c r="M481" s="2069">
        <f>ROUND(SUM(M482:M482),Config!C103)</f>
        <v>1394000</v>
      </c>
      <c r="N481" s="2056"/>
      <c r="O481" s="2057"/>
      <c r="P481" s="1952"/>
      <c r="Q481" s="2025"/>
      <c r="R481" s="2025"/>
      <c r="S481" s="2025"/>
    </row>
    <row r="482" spans="1:19" s="474" customFormat="1" ht="15">
      <c r="A482" s="2050"/>
      <c r="B482" s="2051"/>
      <c r="C482" s="2051"/>
      <c r="D482" s="2051"/>
      <c r="E482" s="2052"/>
      <c r="F482" s="2052" t="s">
        <v>1951</v>
      </c>
      <c r="G482" s="2053" t="s">
        <v>1952</v>
      </c>
      <c r="H482" s="2052" t="s">
        <v>1833</v>
      </c>
      <c r="I482" s="2052"/>
      <c r="J482" s="2054">
        <v>5.62</v>
      </c>
      <c r="K482" s="2170">
        <f>'TH vat tu XD'!G116</f>
        <v>248042.76315789475</v>
      </c>
      <c r="L482" s="2054"/>
      <c r="M482" s="2055">
        <f>IF(L482=0,J482*K482,J482*K482*L482)</f>
        <v>1394000.3289473685</v>
      </c>
      <c r="N482" s="2056">
        <f>IF(L482=0,I475*J482,I475*J482*L482)</f>
        <v>1.3240720000000001</v>
      </c>
      <c r="O482" s="2057"/>
      <c r="P482" s="1952"/>
      <c r="Q482" s="2025"/>
      <c r="R482" s="2025"/>
      <c r="S482" s="2025"/>
    </row>
    <row r="483" spans="1:19" s="474" customFormat="1" ht="15" hidden="1">
      <c r="A483" s="2050"/>
      <c r="B483" s="2051"/>
      <c r="C483" s="2051"/>
      <c r="D483" s="2051"/>
      <c r="E483" s="2052"/>
      <c r="F483" s="2052"/>
      <c r="G483" s="2065" t="s">
        <v>109</v>
      </c>
      <c r="H483" s="2052"/>
      <c r="I483" s="2052"/>
      <c r="J483" s="2052" t="s">
        <v>333</v>
      </c>
      <c r="K483" s="2055"/>
      <c r="L483" s="2054"/>
      <c r="M483" s="2066">
        <f>M476+M481+0</f>
        <v>23203970</v>
      </c>
      <c r="N483" s="2056"/>
      <c r="O483" s="2057"/>
      <c r="P483" s="1952"/>
      <c r="Q483" s="2025"/>
      <c r="R483" s="2025"/>
      <c r="S483" s="2025"/>
    </row>
    <row r="484" spans="1:19" s="474" customFormat="1" ht="15" hidden="1">
      <c r="A484" s="2050"/>
      <c r="B484" s="2051"/>
      <c r="C484" s="2051"/>
      <c r="D484" s="2051"/>
      <c r="E484" s="2052"/>
      <c r="F484" s="2052"/>
      <c r="G484" s="2065" t="s">
        <v>378</v>
      </c>
      <c r="H484" s="2052"/>
      <c r="I484" s="2052"/>
      <c r="J484" s="2052" t="str">
        <f ca="1">"T*"&amp;'THCP xay dung'!F135*100&amp;"%"</f>
        <v>T*6,2%</v>
      </c>
      <c r="K484" s="2055"/>
      <c r="L484" s="2054"/>
      <c r="M484" s="2066">
        <f ca="1">M483*'THCP xay dung'!F135*100%</f>
        <v>1438646.14</v>
      </c>
      <c r="N484" s="2056"/>
      <c r="O484" s="2057"/>
      <c r="P484" s="1952"/>
      <c r="Q484" s="2025"/>
      <c r="R484" s="2025"/>
      <c r="S484" s="2025"/>
    </row>
    <row r="485" spans="1:19" s="474" customFormat="1" ht="28.5" hidden="1">
      <c r="A485" s="2050"/>
      <c r="B485" s="2051"/>
      <c r="C485" s="2051"/>
      <c r="D485" s="2051"/>
      <c r="E485" s="2052"/>
      <c r="F485" s="2052"/>
      <c r="G485" s="2065" t="s">
        <v>702</v>
      </c>
      <c r="H485" s="2052"/>
      <c r="I485" s="2052"/>
      <c r="J485" s="2052" t="str">
        <f>IF('THCP xay dung'!G136&lt;&gt;1,"T*"&amp;'THCP xay dung'!F136*100&amp;"%"&amp;"*"&amp;'THCP xay dung'!G136,"T*"&amp;'THCP xay dung'!F136*100&amp;"%")</f>
        <v>T*1,1%</v>
      </c>
      <c r="K485" s="2055"/>
      <c r="L485" s="2054"/>
      <c r="M485" s="2066">
        <f>IF('THCP xay dung'!G136&lt;&gt;1,M483*'THCP xay dung'!F136*100%*'THCP xay dung'!G136,M483*'THCP xay dung'!F136*100%)</f>
        <v>255243.67</v>
      </c>
      <c r="N485" s="2056"/>
      <c r="O485" s="2057"/>
      <c r="P485" s="1952"/>
      <c r="Q485" s="2025"/>
      <c r="R485" s="2025"/>
      <c r="S485" s="2025"/>
    </row>
    <row r="486" spans="1:19" s="474" customFormat="1" ht="42.75" hidden="1">
      <c r="A486" s="2050"/>
      <c r="B486" s="2051"/>
      <c r="C486" s="2051"/>
      <c r="D486" s="2051"/>
      <c r="E486" s="2052"/>
      <c r="F486" s="2052"/>
      <c r="G486" s="2065" t="s">
        <v>703</v>
      </c>
      <c r="H486" s="2052"/>
      <c r="I486" s="2052"/>
      <c r="J486" s="2052" t="str">
        <f ca="1">"T*"&amp;'THCP xay dung'!F137*100&amp;"%"</f>
        <v>T*2%</v>
      </c>
      <c r="K486" s="2055"/>
      <c r="L486" s="2054"/>
      <c r="M486" s="2066">
        <f ca="1">M483*'THCP xay dung'!F137*100%</f>
        <v>464079.4</v>
      </c>
      <c r="N486" s="2056"/>
      <c r="O486" s="2057"/>
      <c r="P486" s="1952"/>
      <c r="Q486" s="2025"/>
      <c r="R486" s="2025"/>
      <c r="S486" s="2025"/>
    </row>
    <row r="487" spans="1:19" s="474" customFormat="1" ht="15" hidden="1">
      <c r="A487" s="2050"/>
      <c r="B487" s="2051"/>
      <c r="C487" s="2051"/>
      <c r="D487" s="2051"/>
      <c r="E487" s="2052"/>
      <c r="F487" s="2052"/>
      <c r="G487" s="2065" t="s">
        <v>701</v>
      </c>
      <c r="H487" s="2052"/>
      <c r="I487" s="2052"/>
      <c r="J487" s="2052" t="s">
        <v>931</v>
      </c>
      <c r="K487" s="2055"/>
      <c r="L487" s="2054"/>
      <c r="M487" s="2066">
        <f ca="1">M484+M485+M486</f>
        <v>2157969.21</v>
      </c>
      <c r="N487" s="2056"/>
      <c r="O487" s="2057"/>
      <c r="P487" s="1952"/>
      <c r="Q487" s="2025"/>
      <c r="R487" s="2025"/>
      <c r="S487" s="2025"/>
    </row>
    <row r="488" spans="1:19" s="474" customFormat="1" ht="15" hidden="1">
      <c r="A488" s="2050"/>
      <c r="B488" s="2051"/>
      <c r="C488" s="2051"/>
      <c r="D488" s="2051"/>
      <c r="E488" s="2052"/>
      <c r="F488" s="2052"/>
      <c r="G488" s="2065" t="s">
        <v>574</v>
      </c>
      <c r="H488" s="2052"/>
      <c r="I488" s="2052"/>
      <c r="J488" s="2052" t="str">
        <f ca="1">"(T+GT)*"&amp;'THCP xay dung'!F139*100&amp;"%"</f>
        <v>(T+GT)*6%</v>
      </c>
      <c r="K488" s="2055"/>
      <c r="L488" s="2054"/>
      <c r="M488" s="2066">
        <f ca="1">(M483+M487)*'THCP xay dung'!F139*100%</f>
        <v>1521716.3526000001</v>
      </c>
      <c r="N488" s="2056"/>
      <c r="O488" s="2057"/>
      <c r="P488" s="1952"/>
      <c r="Q488" s="2025"/>
      <c r="R488" s="2025"/>
      <c r="S488" s="2025"/>
    </row>
    <row r="489" spans="1:19" s="474" customFormat="1" ht="15" hidden="1">
      <c r="A489" s="2050"/>
      <c r="B489" s="2051"/>
      <c r="C489" s="2051"/>
      <c r="D489" s="2051"/>
      <c r="E489" s="2052"/>
      <c r="F489" s="2052"/>
      <c r="G489" s="2065" t="s">
        <v>113</v>
      </c>
      <c r="H489" s="2052"/>
      <c r="I489" s="2052"/>
      <c r="J489" s="2052" t="s">
        <v>705</v>
      </c>
      <c r="K489" s="2055"/>
      <c r="L489" s="2054"/>
      <c r="M489" s="2066">
        <f ca="1">M483+M487+M488</f>
        <v>26883655.562600002</v>
      </c>
      <c r="N489" s="2056"/>
      <c r="O489" s="2057"/>
      <c r="P489" s="1952"/>
      <c r="Q489" s="2025"/>
      <c r="R489" s="2025"/>
      <c r="S489" s="2025"/>
    </row>
    <row r="490" spans="1:19" s="474" customFormat="1" ht="15" hidden="1">
      <c r="A490" s="2050"/>
      <c r="B490" s="2051"/>
      <c r="C490" s="2051"/>
      <c r="D490" s="2051"/>
      <c r="E490" s="2052"/>
      <c r="F490" s="2052"/>
      <c r="G490" s="2065" t="s">
        <v>575</v>
      </c>
      <c r="H490" s="2052"/>
      <c r="I490" s="2052"/>
      <c r="J490" s="2052" t="str">
        <f>"G*"&amp;'THCP xay dung'!F141*100&amp;"%"</f>
        <v>G*10%</v>
      </c>
      <c r="K490" s="2055"/>
      <c r="L490" s="2054"/>
      <c r="M490" s="2066">
        <f ca="1">M489*'THCP xay dung'!F141*100%</f>
        <v>2688365.5562600004</v>
      </c>
      <c r="N490" s="2056"/>
      <c r="O490" s="2057"/>
      <c r="P490" s="1952"/>
      <c r="Q490" s="2025"/>
      <c r="R490" s="2025"/>
      <c r="S490" s="2025"/>
    </row>
    <row r="491" spans="1:19" s="474" customFormat="1" ht="15" hidden="1">
      <c r="A491" s="2050"/>
      <c r="B491" s="2051"/>
      <c r="C491" s="2051"/>
      <c r="D491" s="2051"/>
      <c r="E491" s="2052"/>
      <c r="F491" s="2052"/>
      <c r="G491" s="2065" t="s">
        <v>117</v>
      </c>
      <c r="H491" s="2052"/>
      <c r="I491" s="2052"/>
      <c r="J491" s="2052" t="s">
        <v>596</v>
      </c>
      <c r="K491" s="2055"/>
      <c r="L491" s="2054"/>
      <c r="M491" s="2066">
        <f ca="1">M489+M490</f>
        <v>29572021.118860003</v>
      </c>
      <c r="N491" s="2056"/>
      <c r="O491" s="2057"/>
      <c r="P491" s="1952"/>
      <c r="Q491" s="2025"/>
      <c r="R491" s="2025"/>
      <c r="S491" s="2025"/>
    </row>
    <row r="492" spans="1:19" s="474" customFormat="1" ht="15" hidden="1">
      <c r="A492" s="2050"/>
      <c r="B492" s="2051"/>
      <c r="C492" s="2051"/>
      <c r="D492" s="2051"/>
      <c r="E492" s="2052"/>
      <c r="F492" s="2052"/>
      <c r="G492" s="2065" t="s">
        <v>168</v>
      </c>
      <c r="H492" s="2052"/>
      <c r="I492" s="2052"/>
      <c r="J492" s="2052" t="str">
        <f ca="1">"GXD*"&amp;'THCP xay dung'!F143*100&amp;"%"</f>
        <v>GXD*6%</v>
      </c>
      <c r="K492" s="2055"/>
      <c r="L492" s="2054"/>
      <c r="M492" s="2066">
        <f ca="1">M491*'THCP xay dung'!F143*100%</f>
        <v>1774321.2671316001</v>
      </c>
      <c r="N492" s="2056"/>
      <c r="O492" s="2057"/>
      <c r="P492" s="1952"/>
      <c r="Q492" s="2025"/>
      <c r="R492" s="2025"/>
      <c r="S492" s="2025"/>
    </row>
    <row r="493" spans="1:19" s="474" customFormat="1" ht="15" hidden="1">
      <c r="A493" s="2090" t="s">
        <v>304</v>
      </c>
      <c r="B493" s="2091"/>
      <c r="C493" s="2091"/>
      <c r="D493" s="2091"/>
      <c r="E493" s="2092"/>
      <c r="F493" s="2092"/>
      <c r="G493" s="2075" t="s">
        <v>1837</v>
      </c>
      <c r="H493" s="2060"/>
      <c r="I493" s="2060"/>
      <c r="J493" s="2060" t="s">
        <v>1636</v>
      </c>
      <c r="K493" s="2062"/>
      <c r="L493" s="2061"/>
      <c r="M493" s="2074">
        <f ca="1">M491+M492</f>
        <v>31346342.385991603</v>
      </c>
      <c r="N493" s="2063"/>
      <c r="O493" s="2064"/>
      <c r="P493" s="1952"/>
      <c r="Q493" s="2025"/>
      <c r="R493" s="2025"/>
      <c r="S493" s="2025"/>
    </row>
    <row r="494" spans="1:19" s="474" customFormat="1" ht="15">
      <c r="A494" s="2093">
        <v>85</v>
      </c>
      <c r="B494" s="2094">
        <f>'Du toan XD'!B210</f>
        <v>2</v>
      </c>
      <c r="C494" s="2094"/>
      <c r="D494" s="2094" t="s">
        <v>1560</v>
      </c>
      <c r="E494" s="2093" t="s">
        <v>1560</v>
      </c>
      <c r="F494" s="2093"/>
      <c r="G494" s="2114" t="str">
        <f>'Du toan XD'!F210</f>
        <v>Lắp dựng xà gồ thép</v>
      </c>
      <c r="H494" s="2093" t="str">
        <f>'Du toan XD'!G210</f>
        <v>tấn</v>
      </c>
      <c r="I494" s="2093">
        <f>'Du toan XD'!H210</f>
        <v>0.2356</v>
      </c>
      <c r="J494" s="2095"/>
      <c r="K494" s="2096"/>
      <c r="L494" s="2097"/>
      <c r="M494" s="2096"/>
      <c r="N494" s="2098"/>
      <c r="O494" s="2098"/>
      <c r="P494" s="1952">
        <f>M495</f>
        <v>372864</v>
      </c>
      <c r="Q494" s="2025"/>
      <c r="R494" s="2025">
        <f>M500</f>
        <v>677157</v>
      </c>
      <c r="S494" s="2025">
        <f>M502</f>
        <v>711503</v>
      </c>
    </row>
    <row r="495" spans="1:19" s="474" customFormat="1" ht="15">
      <c r="A495" s="2099"/>
      <c r="B495" s="2100"/>
      <c r="C495" s="2100"/>
      <c r="D495" s="2100"/>
      <c r="E495" s="2099"/>
      <c r="F495" s="2099"/>
      <c r="G495" s="2116" t="s">
        <v>224</v>
      </c>
      <c r="H495" s="2116"/>
      <c r="I495" s="2116"/>
      <c r="J495" s="2120"/>
      <c r="K495" s="2118"/>
      <c r="L495" s="2119"/>
      <c r="M495" s="2118">
        <f>ROUND(SUM(M496:M499),Config!C103)</f>
        <v>372864</v>
      </c>
      <c r="N495" s="2106"/>
      <c r="O495" s="2106"/>
      <c r="P495" s="1952"/>
      <c r="Q495" s="2025"/>
      <c r="R495" s="2025"/>
      <c r="S495" s="2025"/>
    </row>
    <row r="496" spans="1:19" s="474" customFormat="1" ht="15">
      <c r="A496" s="2099"/>
      <c r="B496" s="2100"/>
      <c r="C496" s="2100"/>
      <c r="D496" s="2100"/>
      <c r="E496" s="2099"/>
      <c r="F496" s="2099" t="s">
        <v>1953</v>
      </c>
      <c r="G496" s="2115" t="s">
        <v>1954</v>
      </c>
      <c r="H496" s="2099" t="s">
        <v>1955</v>
      </c>
      <c r="I496" s="2099"/>
      <c r="J496" s="2102">
        <v>48</v>
      </c>
      <c r="K496" s="2171">
        <f>'TH vat tu XD'!G107</f>
        <v>5000</v>
      </c>
      <c r="L496" s="2104"/>
      <c r="M496" s="2103">
        <f>IF(L496=0,J496*K496,J496*K496*L496)</f>
        <v>240000</v>
      </c>
      <c r="N496" s="2106">
        <f>IF(L496=0,I494*J496,I494*J496*L496)</f>
        <v>11.3088</v>
      </c>
      <c r="O496" s="2106">
        <f>J499%*N496</f>
        <v>0.11308799999999999</v>
      </c>
      <c r="P496" s="1952"/>
      <c r="Q496" s="2025"/>
      <c r="R496" s="2025"/>
      <c r="S496" s="2025"/>
    </row>
    <row r="497" spans="1:19" s="474" customFormat="1" ht="15">
      <c r="A497" s="2099"/>
      <c r="B497" s="2100"/>
      <c r="C497" s="2100"/>
      <c r="D497" s="2100"/>
      <c r="E497" s="2099"/>
      <c r="F497" s="2099" t="s">
        <v>1894</v>
      </c>
      <c r="G497" s="2115" t="s">
        <v>1895</v>
      </c>
      <c r="H497" s="2099" t="s">
        <v>1856</v>
      </c>
      <c r="I497" s="2099"/>
      <c r="J497" s="2102">
        <v>6</v>
      </c>
      <c r="K497" s="2171">
        <f>'TH vat tu XD'!G112</f>
        <v>21000</v>
      </c>
      <c r="L497" s="2104"/>
      <c r="M497" s="2103">
        <f>IF(L497=0,J497*K497,J497*K497*L497)</f>
        <v>126000</v>
      </c>
      <c r="N497" s="2106">
        <f>IF(L497=0,I494*J497,I494*J497*L497)</f>
        <v>1.4136</v>
      </c>
      <c r="O497" s="2106">
        <f>J499%*N497</f>
        <v>1.4135999999999999E-2</v>
      </c>
      <c r="P497" s="1952"/>
      <c r="Q497" s="2025"/>
      <c r="R497" s="2025"/>
      <c r="S497" s="2025"/>
    </row>
    <row r="498" spans="1:19" s="474" customFormat="1" ht="15">
      <c r="A498" s="2099"/>
      <c r="B498" s="2100"/>
      <c r="C498" s="2100"/>
      <c r="D498" s="2100"/>
      <c r="E498" s="2099"/>
      <c r="F498" s="2099" t="s">
        <v>1944</v>
      </c>
      <c r="G498" s="2115" t="s">
        <v>1945</v>
      </c>
      <c r="H498" s="2099" t="s">
        <v>1856</v>
      </c>
      <c r="I498" s="2099"/>
      <c r="J498" s="2102">
        <v>0.15</v>
      </c>
      <c r="K498" s="2171">
        <f>'TH vat tu XD'!G113</f>
        <v>21150</v>
      </c>
      <c r="L498" s="2104"/>
      <c r="M498" s="2103">
        <f>IF(L498=0,J498*K498,J498*K498*L498)</f>
        <v>3172.5</v>
      </c>
      <c r="N498" s="2106">
        <f>IF(L498=0,I494*J498,I494*J498*L498)</f>
        <v>3.5339999999999996E-2</v>
      </c>
      <c r="O498" s="2106">
        <f>J499%*N498</f>
        <v>3.5339999999999997E-4</v>
      </c>
      <c r="P498" s="1952"/>
      <c r="Q498" s="2025"/>
      <c r="R498" s="2025"/>
      <c r="S498" s="2025"/>
    </row>
    <row r="499" spans="1:19" s="474" customFormat="1" ht="15">
      <c r="A499" s="2099"/>
      <c r="B499" s="2100"/>
      <c r="C499" s="2100"/>
      <c r="D499" s="2100"/>
      <c r="E499" s="2099"/>
      <c r="F499" s="2099" t="s">
        <v>1882</v>
      </c>
      <c r="G499" s="2115" t="s">
        <v>226</v>
      </c>
      <c r="H499" s="2099" t="s">
        <v>1850</v>
      </c>
      <c r="I499" s="2099"/>
      <c r="J499" s="2102">
        <v>1</v>
      </c>
      <c r="K499" s="2103"/>
      <c r="L499" s="2104"/>
      <c r="M499" s="2103">
        <f>SUM(M496:M498)*J499%</f>
        <v>3691.7249999999999</v>
      </c>
      <c r="N499" s="2106"/>
      <c r="O499" s="2106"/>
      <c r="P499" s="1952"/>
      <c r="Q499" s="2025"/>
      <c r="R499" s="2025"/>
      <c r="S499" s="2025"/>
    </row>
    <row r="500" spans="1:19" s="474" customFormat="1" ht="15">
      <c r="A500" s="2099"/>
      <c r="B500" s="2100"/>
      <c r="C500" s="2100"/>
      <c r="D500" s="2100"/>
      <c r="E500" s="2099"/>
      <c r="F500" s="2099"/>
      <c r="G500" s="2116" t="s">
        <v>225</v>
      </c>
      <c r="H500" s="2116"/>
      <c r="I500" s="2116"/>
      <c r="J500" s="2120"/>
      <c r="K500" s="2118"/>
      <c r="L500" s="2119"/>
      <c r="M500" s="2118">
        <f>ROUND(SUM(M501:M501),Config!C103)</f>
        <v>677157</v>
      </c>
      <c r="N500" s="2106"/>
      <c r="O500" s="2106"/>
      <c r="P500" s="1952"/>
      <c r="Q500" s="2025"/>
      <c r="R500" s="2025"/>
      <c r="S500" s="2025"/>
    </row>
    <row r="501" spans="1:19" s="474" customFormat="1" ht="15">
      <c r="A501" s="2099"/>
      <c r="B501" s="2100"/>
      <c r="C501" s="2100"/>
      <c r="D501" s="2100"/>
      <c r="E501" s="2099"/>
      <c r="F501" s="2099" t="s">
        <v>1951</v>
      </c>
      <c r="G501" s="2115" t="s">
        <v>1952</v>
      </c>
      <c r="H501" s="2099" t="s">
        <v>1833</v>
      </c>
      <c r="I501" s="2099"/>
      <c r="J501" s="2102">
        <v>2.73</v>
      </c>
      <c r="K501" s="2171">
        <f>'TH vat tu XD'!G116</f>
        <v>248042.76315789475</v>
      </c>
      <c r="L501" s="2104"/>
      <c r="M501" s="2103">
        <f>IF(L501=0,J501*K501,J501*K501*L501)</f>
        <v>677156.7434210527</v>
      </c>
      <c r="N501" s="2106">
        <f>IF(L501=0,I494*J501,I494*J501*L501)</f>
        <v>0.64318799999999998</v>
      </c>
      <c r="O501" s="2106"/>
      <c r="P501" s="1952"/>
      <c r="Q501" s="2025"/>
      <c r="R501" s="2025"/>
      <c r="S501" s="2025"/>
    </row>
    <row r="502" spans="1:19" s="474" customFormat="1" ht="15">
      <c r="A502" s="2099"/>
      <c r="B502" s="2100"/>
      <c r="C502" s="2100"/>
      <c r="D502" s="2100"/>
      <c r="E502" s="2099"/>
      <c r="F502" s="2099"/>
      <c r="G502" s="2116" t="s">
        <v>228</v>
      </c>
      <c r="H502" s="2116"/>
      <c r="I502" s="2116"/>
      <c r="J502" s="2120"/>
      <c r="K502" s="2118"/>
      <c r="L502" s="2119"/>
      <c r="M502" s="2118">
        <f>ROUND(SUM(M503:M504),Config!C103)</f>
        <v>711503</v>
      </c>
      <c r="N502" s="2106"/>
      <c r="O502" s="2106"/>
      <c r="P502" s="1952"/>
      <c r="Q502" s="2025"/>
      <c r="R502" s="2025"/>
      <c r="S502" s="2025"/>
    </row>
    <row r="503" spans="1:19" s="474" customFormat="1" ht="15">
      <c r="A503" s="2099"/>
      <c r="B503" s="2100"/>
      <c r="C503" s="2100"/>
      <c r="D503" s="2100"/>
      <c r="E503" s="2099"/>
      <c r="F503" s="2099" t="s">
        <v>1956</v>
      </c>
      <c r="G503" s="2115" t="s">
        <v>1957</v>
      </c>
      <c r="H503" s="2099" t="s">
        <v>1836</v>
      </c>
      <c r="I503" s="2099"/>
      <c r="J503" s="2102">
        <v>0.33800000000000002</v>
      </c>
      <c r="K503" s="2171">
        <f>'TH vat tu XD'!G119</f>
        <v>1393807</v>
      </c>
      <c r="L503" s="2104"/>
      <c r="M503" s="2103">
        <f>IF(L503=0,J503*K503,J503*K503*L503)</f>
        <v>471106.766</v>
      </c>
      <c r="N503" s="2106">
        <f>IF(L503=0,I494*J503,I494*J503*L503)</f>
        <v>7.9632800000000004E-2</v>
      </c>
      <c r="O503" s="2106"/>
      <c r="P503" s="1952"/>
      <c r="Q503" s="2025"/>
      <c r="R503" s="2025"/>
      <c r="S503" s="2025"/>
    </row>
    <row r="504" spans="1:19" s="474" customFormat="1" ht="15">
      <c r="A504" s="2099"/>
      <c r="B504" s="2100"/>
      <c r="C504" s="2100"/>
      <c r="D504" s="2100"/>
      <c r="E504" s="2099"/>
      <c r="F504" s="2099" t="s">
        <v>1896</v>
      </c>
      <c r="G504" s="2115" t="s">
        <v>1897</v>
      </c>
      <c r="H504" s="2099" t="s">
        <v>1836</v>
      </c>
      <c r="I504" s="2099"/>
      <c r="J504" s="2102">
        <v>2</v>
      </c>
      <c r="K504" s="2171">
        <f>'TH vat tu XD'!G120</f>
        <v>120198</v>
      </c>
      <c r="L504" s="2104"/>
      <c r="M504" s="2103">
        <f>IF(L504=0,J504*K504,J504*K504*L504)</f>
        <v>240396</v>
      </c>
      <c r="N504" s="2106">
        <f>IF(L504=0,I494*J504,I494*J504*L504)</f>
        <v>0.47120000000000001</v>
      </c>
      <c r="O504" s="2106"/>
      <c r="P504" s="1952"/>
      <c r="Q504" s="2025"/>
      <c r="R504" s="2025"/>
      <c r="S504" s="2025"/>
    </row>
    <row r="505" spans="1:19" s="474" customFormat="1" ht="15" hidden="1">
      <c r="A505" s="2099"/>
      <c r="B505" s="2100"/>
      <c r="C505" s="2100"/>
      <c r="D505" s="2100"/>
      <c r="E505" s="2099"/>
      <c r="F505" s="2099"/>
      <c r="G505" s="2101" t="s">
        <v>109</v>
      </c>
      <c r="H505" s="2099"/>
      <c r="I505" s="2099"/>
      <c r="J505" s="2099" t="s">
        <v>333</v>
      </c>
      <c r="K505" s="2103"/>
      <c r="L505" s="2104"/>
      <c r="M505" s="2105">
        <f>M495+M500+M502</f>
        <v>1761524</v>
      </c>
      <c r="N505" s="2106"/>
      <c r="O505" s="2106"/>
      <c r="P505" s="1952"/>
      <c r="Q505" s="2025"/>
      <c r="R505" s="2025"/>
      <c r="S505" s="2025"/>
    </row>
    <row r="506" spans="1:19" s="474" customFormat="1" ht="15" hidden="1">
      <c r="A506" s="2099"/>
      <c r="B506" s="2100"/>
      <c r="C506" s="2100"/>
      <c r="D506" s="2100"/>
      <c r="E506" s="2099"/>
      <c r="F506" s="2099"/>
      <c r="G506" s="2101" t="s">
        <v>378</v>
      </c>
      <c r="H506" s="2099"/>
      <c r="I506" s="2099"/>
      <c r="J506" s="2099" t="str">
        <f ca="1">"T*"&amp;'THCP xay dung'!F135*100&amp;"%"</f>
        <v>T*6,2%</v>
      </c>
      <c r="K506" s="2103"/>
      <c r="L506" s="2104"/>
      <c r="M506" s="2105">
        <f ca="1">M505*'THCP xay dung'!F135*100%</f>
        <v>109214.488</v>
      </c>
      <c r="N506" s="2106"/>
      <c r="O506" s="2106"/>
      <c r="P506" s="1952"/>
      <c r="Q506" s="2025"/>
      <c r="R506" s="2025"/>
      <c r="S506" s="2025"/>
    </row>
    <row r="507" spans="1:19" s="474" customFormat="1" ht="28.5" hidden="1">
      <c r="A507" s="2099"/>
      <c r="B507" s="2100"/>
      <c r="C507" s="2100"/>
      <c r="D507" s="2100"/>
      <c r="E507" s="2099"/>
      <c r="F507" s="2099"/>
      <c r="G507" s="2101" t="s">
        <v>702</v>
      </c>
      <c r="H507" s="2099"/>
      <c r="I507" s="2099"/>
      <c r="J507" s="2099" t="str">
        <f>IF('THCP xay dung'!G136&lt;&gt;1,"T*"&amp;'THCP xay dung'!F136*100&amp;"%"&amp;"*"&amp;'THCP xay dung'!G136,"T*"&amp;'THCP xay dung'!F136*100&amp;"%")</f>
        <v>T*1,1%</v>
      </c>
      <c r="K507" s="2103"/>
      <c r="L507" s="2104"/>
      <c r="M507" s="2105">
        <f>IF('THCP xay dung'!G136&lt;&gt;1,M505*'THCP xay dung'!F136*100%*'THCP xay dung'!G136,M505*'THCP xay dung'!F136*100%)</f>
        <v>19376.764000000003</v>
      </c>
      <c r="N507" s="2106"/>
      <c r="O507" s="2106"/>
      <c r="P507" s="1952"/>
      <c r="Q507" s="2025"/>
      <c r="R507" s="2025"/>
      <c r="S507" s="2025"/>
    </row>
    <row r="508" spans="1:19" s="474" customFormat="1" ht="42.75" hidden="1">
      <c r="A508" s="2099"/>
      <c r="B508" s="2100"/>
      <c r="C508" s="2100"/>
      <c r="D508" s="2100"/>
      <c r="E508" s="2099"/>
      <c r="F508" s="2099"/>
      <c r="G508" s="2101" t="s">
        <v>703</v>
      </c>
      <c r="H508" s="2099"/>
      <c r="I508" s="2099"/>
      <c r="J508" s="2099" t="str">
        <f ca="1">"T*"&amp;'THCP xay dung'!F137*100&amp;"%"</f>
        <v>T*2%</v>
      </c>
      <c r="K508" s="2103"/>
      <c r="L508" s="2104"/>
      <c r="M508" s="2105">
        <f ca="1">M505*'THCP xay dung'!F137*100%</f>
        <v>35230.480000000003</v>
      </c>
      <c r="N508" s="2106"/>
      <c r="O508" s="2106"/>
      <c r="P508" s="1952"/>
      <c r="Q508" s="2025"/>
      <c r="R508" s="2025"/>
      <c r="S508" s="2025"/>
    </row>
    <row r="509" spans="1:19" s="474" customFormat="1" ht="15" hidden="1">
      <c r="A509" s="2099"/>
      <c r="B509" s="2100"/>
      <c r="C509" s="2100"/>
      <c r="D509" s="2100"/>
      <c r="E509" s="2099"/>
      <c r="F509" s="2099"/>
      <c r="G509" s="2101" t="s">
        <v>701</v>
      </c>
      <c r="H509" s="2099"/>
      <c r="I509" s="2099"/>
      <c r="J509" s="2099" t="s">
        <v>931</v>
      </c>
      <c r="K509" s="2103"/>
      <c r="L509" s="2104"/>
      <c r="M509" s="2105">
        <f ca="1">M506+M507+M508</f>
        <v>163821.73200000002</v>
      </c>
      <c r="N509" s="2106"/>
      <c r="O509" s="2106"/>
      <c r="P509" s="1952"/>
      <c r="Q509" s="2025"/>
      <c r="R509" s="2025"/>
      <c r="S509" s="2025"/>
    </row>
    <row r="510" spans="1:19" s="474" customFormat="1" ht="15" hidden="1">
      <c r="A510" s="2099"/>
      <c r="B510" s="2100"/>
      <c r="C510" s="2100"/>
      <c r="D510" s="2100"/>
      <c r="E510" s="2099"/>
      <c r="F510" s="2099"/>
      <c r="G510" s="2101" t="s">
        <v>574</v>
      </c>
      <c r="H510" s="2099"/>
      <c r="I510" s="2099"/>
      <c r="J510" s="2099" t="str">
        <f ca="1">"(T+GT)*"&amp;'THCP xay dung'!F139*100&amp;"%"</f>
        <v>(T+GT)*6%</v>
      </c>
      <c r="K510" s="2103"/>
      <c r="L510" s="2104"/>
      <c r="M510" s="2105">
        <f ca="1">(M505+M509)*'THCP xay dung'!F139*100%</f>
        <v>115520.74391999999</v>
      </c>
      <c r="N510" s="2106"/>
      <c r="O510" s="2106"/>
      <c r="P510" s="1952"/>
      <c r="Q510" s="2025"/>
      <c r="R510" s="2025"/>
      <c r="S510" s="2025"/>
    </row>
    <row r="511" spans="1:19" s="474" customFormat="1" ht="15" hidden="1">
      <c r="A511" s="2099"/>
      <c r="B511" s="2100"/>
      <c r="C511" s="2100"/>
      <c r="D511" s="2100"/>
      <c r="E511" s="2099"/>
      <c r="F511" s="2099"/>
      <c r="G511" s="2101" t="s">
        <v>113</v>
      </c>
      <c r="H511" s="2099"/>
      <c r="I511" s="2099"/>
      <c r="J511" s="2099" t="s">
        <v>705</v>
      </c>
      <c r="K511" s="2103"/>
      <c r="L511" s="2104"/>
      <c r="M511" s="2105">
        <f ca="1">M505+M509+M510</f>
        <v>2040866.4759200001</v>
      </c>
      <c r="N511" s="2106"/>
      <c r="O511" s="2106"/>
      <c r="P511" s="1952"/>
      <c r="Q511" s="2025"/>
      <c r="R511" s="2025"/>
      <c r="S511" s="2025"/>
    </row>
    <row r="512" spans="1:19" s="474" customFormat="1" ht="15" hidden="1">
      <c r="A512" s="2099"/>
      <c r="B512" s="2100"/>
      <c r="C512" s="2100"/>
      <c r="D512" s="2100"/>
      <c r="E512" s="2099"/>
      <c r="F512" s="2099"/>
      <c r="G512" s="2101" t="s">
        <v>575</v>
      </c>
      <c r="H512" s="2099"/>
      <c r="I512" s="2099"/>
      <c r="J512" s="2099" t="str">
        <f>"G*"&amp;'THCP xay dung'!F141*100&amp;"%"</f>
        <v>G*10%</v>
      </c>
      <c r="K512" s="2103"/>
      <c r="L512" s="2104"/>
      <c r="M512" s="2105">
        <f ca="1">M511*'THCP xay dung'!F141*100%</f>
        <v>204086.64759200002</v>
      </c>
      <c r="N512" s="2106"/>
      <c r="O512" s="2106"/>
      <c r="P512" s="1952"/>
      <c r="Q512" s="2025"/>
      <c r="R512" s="2025"/>
      <c r="S512" s="2025"/>
    </row>
    <row r="513" spans="1:19" s="474" customFormat="1" ht="15" hidden="1">
      <c r="A513" s="2099"/>
      <c r="B513" s="2100"/>
      <c r="C513" s="2100"/>
      <c r="D513" s="2100"/>
      <c r="E513" s="2099"/>
      <c r="F513" s="2099"/>
      <c r="G513" s="2101" t="s">
        <v>117</v>
      </c>
      <c r="H513" s="2099"/>
      <c r="I513" s="2099"/>
      <c r="J513" s="2099" t="s">
        <v>596</v>
      </c>
      <c r="K513" s="2103"/>
      <c r="L513" s="2104"/>
      <c r="M513" s="2105">
        <f ca="1">M511+M512</f>
        <v>2244953.1235120003</v>
      </c>
      <c r="N513" s="2106"/>
      <c r="O513" s="2106"/>
      <c r="P513" s="1952"/>
      <c r="Q513" s="2025"/>
      <c r="R513" s="2025"/>
      <c r="S513" s="2025"/>
    </row>
    <row r="514" spans="1:19" s="474" customFormat="1" ht="15" hidden="1">
      <c r="A514" s="2099"/>
      <c r="B514" s="2100"/>
      <c r="C514" s="2100"/>
      <c r="D514" s="2100"/>
      <c r="E514" s="2099"/>
      <c r="F514" s="2099"/>
      <c r="G514" s="2101" t="s">
        <v>168</v>
      </c>
      <c r="H514" s="2099"/>
      <c r="I514" s="2099"/>
      <c r="J514" s="2099" t="str">
        <f ca="1">"GXD*"&amp;'THCP xay dung'!F143*100&amp;"%"</f>
        <v>GXD*6%</v>
      </c>
      <c r="K514" s="2103"/>
      <c r="L514" s="2104"/>
      <c r="M514" s="2105">
        <f ca="1">M513*'THCP xay dung'!F143*100%</f>
        <v>134697.18741072001</v>
      </c>
      <c r="N514" s="2106"/>
      <c r="O514" s="2106"/>
      <c r="P514" s="1952"/>
      <c r="Q514" s="2025"/>
      <c r="R514" s="2025"/>
      <c r="S514" s="2025"/>
    </row>
    <row r="515" spans="1:19" s="474" customFormat="1" ht="15" hidden="1">
      <c r="A515" s="2122" t="s">
        <v>304</v>
      </c>
      <c r="B515" s="2123"/>
      <c r="C515" s="2123"/>
      <c r="D515" s="2123"/>
      <c r="E515" s="2122"/>
      <c r="F515" s="2122"/>
      <c r="G515" s="2109" t="s">
        <v>1837</v>
      </c>
      <c r="H515" s="2107"/>
      <c r="I515" s="2107"/>
      <c r="J515" s="2107" t="s">
        <v>1636</v>
      </c>
      <c r="K515" s="2110"/>
      <c r="L515" s="2111"/>
      <c r="M515" s="2112">
        <f ca="1">M513+M514</f>
        <v>2379650.3109227205</v>
      </c>
      <c r="N515" s="2113"/>
      <c r="O515" s="2113"/>
      <c r="P515" s="1952"/>
      <c r="Q515" s="2025"/>
      <c r="R515" s="2025"/>
      <c r="S515" s="2025"/>
    </row>
    <row r="516" spans="1:19" s="474" customFormat="1" ht="30">
      <c r="A516" s="2124">
        <v>86</v>
      </c>
      <c r="B516" s="2125">
        <f>'Du toan XD'!B211</f>
        <v>3</v>
      </c>
      <c r="C516" s="2125"/>
      <c r="D516" s="2125" t="s">
        <v>1561</v>
      </c>
      <c r="E516" s="2126" t="s">
        <v>1561</v>
      </c>
      <c r="F516" s="2126"/>
      <c r="G516" s="2132" t="str">
        <f>'Du toan XD'!F211</f>
        <v>Lợp mái, che tường bằng fibrô xi măng</v>
      </c>
      <c r="H516" s="2126" t="str">
        <f>'Du toan XD'!G211</f>
        <v>100m²</v>
      </c>
      <c r="I516" s="2126">
        <f>'Du toan XD'!H211</f>
        <v>1.2035</v>
      </c>
      <c r="J516" s="2127"/>
      <c r="K516" s="2128"/>
      <c r="L516" s="2129"/>
      <c r="M516" s="2128"/>
      <c r="N516" s="2130"/>
      <c r="O516" s="2131"/>
      <c r="P516" s="1952">
        <f>M517</f>
        <v>3139500</v>
      </c>
      <c r="Q516" s="2025"/>
      <c r="R516" s="2025">
        <f>M520</f>
        <v>1668050</v>
      </c>
      <c r="S516" s="2025"/>
    </row>
    <row r="517" spans="1:19" s="474" customFormat="1" ht="15">
      <c r="A517" s="2050"/>
      <c r="B517" s="2051"/>
      <c r="C517" s="2051"/>
      <c r="D517" s="2051"/>
      <c r="E517" s="2052"/>
      <c r="F517" s="2052"/>
      <c r="G517" s="2067" t="s">
        <v>224</v>
      </c>
      <c r="H517" s="2067"/>
      <c r="I517" s="2067"/>
      <c r="J517" s="2134"/>
      <c r="K517" s="2069"/>
      <c r="L517" s="2070"/>
      <c r="M517" s="2069">
        <f>ROUND(SUM(M518:M519),Config!C103)</f>
        <v>3139500</v>
      </c>
      <c r="N517" s="2056"/>
      <c r="O517" s="2057"/>
      <c r="P517" s="1952"/>
      <c r="Q517" s="2025"/>
      <c r="R517" s="2025"/>
      <c r="S517" s="2025"/>
    </row>
    <row r="518" spans="1:19" s="474" customFormat="1" ht="15">
      <c r="A518" s="2050"/>
      <c r="B518" s="2051"/>
      <c r="C518" s="2051"/>
      <c r="D518" s="2051"/>
      <c r="E518" s="2052"/>
      <c r="F518" s="2052" t="s">
        <v>1959</v>
      </c>
      <c r="G518" s="2053" t="s">
        <v>1960</v>
      </c>
      <c r="H518" s="2052" t="s">
        <v>1961</v>
      </c>
      <c r="I518" s="2052"/>
      <c r="J518" s="2073">
        <v>129.5</v>
      </c>
      <c r="K518" s="2170">
        <f>'TH vat tu XD'!G108</f>
        <v>21000</v>
      </c>
      <c r="L518" s="2054"/>
      <c r="M518" s="2055">
        <f>IF(L518=0,J518*K518,J518*K518*L518)</f>
        <v>2719500</v>
      </c>
      <c r="N518" s="2056">
        <f>IF(L518=0,I516*J518,I516*J518*L518)</f>
        <v>155.85325</v>
      </c>
      <c r="O518" s="2057"/>
      <c r="P518" s="1952"/>
      <c r="Q518" s="2025"/>
      <c r="R518" s="2025"/>
      <c r="S518" s="2025"/>
    </row>
    <row r="519" spans="1:19" s="474" customFormat="1" ht="15">
      <c r="A519" s="2050"/>
      <c r="B519" s="2051"/>
      <c r="C519" s="2051"/>
      <c r="D519" s="2051"/>
      <c r="E519" s="2052"/>
      <c r="F519" s="2052" t="s">
        <v>1962</v>
      </c>
      <c r="G519" s="2053" t="s">
        <v>1963</v>
      </c>
      <c r="H519" s="2052" t="s">
        <v>1955</v>
      </c>
      <c r="I519" s="2052"/>
      <c r="J519" s="2073">
        <v>280</v>
      </c>
      <c r="K519" s="2170">
        <f>'TH vat tu XD'!G110</f>
        <v>1500</v>
      </c>
      <c r="L519" s="2054"/>
      <c r="M519" s="2055">
        <f>IF(L519=0,J519*K519,J519*K519*L519)</f>
        <v>420000</v>
      </c>
      <c r="N519" s="2056">
        <f>IF(L519=0,I516*J519,I516*J519*L519)</f>
        <v>336.98</v>
      </c>
      <c r="O519" s="2057"/>
      <c r="P519" s="1952"/>
      <c r="Q519" s="2025"/>
      <c r="R519" s="2025"/>
      <c r="S519" s="2025"/>
    </row>
    <row r="520" spans="1:19" s="474" customFormat="1" ht="15">
      <c r="A520" s="2050"/>
      <c r="B520" s="2051"/>
      <c r="C520" s="2051"/>
      <c r="D520" s="2051"/>
      <c r="E520" s="2052"/>
      <c r="F520" s="2052"/>
      <c r="G520" s="2067" t="s">
        <v>225</v>
      </c>
      <c r="H520" s="2067"/>
      <c r="I520" s="2067"/>
      <c r="J520" s="2134"/>
      <c r="K520" s="2069"/>
      <c r="L520" s="2070"/>
      <c r="M520" s="2069">
        <f>ROUND(SUM(M521:M521),Config!C103)</f>
        <v>1668050</v>
      </c>
      <c r="N520" s="2056"/>
      <c r="O520" s="2057"/>
      <c r="P520" s="1952"/>
      <c r="Q520" s="2025"/>
      <c r="R520" s="2025"/>
      <c r="S520" s="2025"/>
    </row>
    <row r="521" spans="1:19" s="474" customFormat="1" ht="15">
      <c r="A521" s="2050"/>
      <c r="B521" s="2051"/>
      <c r="C521" s="2051"/>
      <c r="D521" s="2051"/>
      <c r="E521" s="2052"/>
      <c r="F521" s="2052" t="s">
        <v>1866</v>
      </c>
      <c r="G521" s="2053" t="s">
        <v>1867</v>
      </c>
      <c r="H521" s="2052" t="s">
        <v>1833</v>
      </c>
      <c r="I521" s="2052"/>
      <c r="J521" s="2073">
        <v>7.3</v>
      </c>
      <c r="K521" s="2170">
        <f>'TH vat tu XD'!G117</f>
        <v>228500</v>
      </c>
      <c r="L521" s="2054"/>
      <c r="M521" s="2055">
        <f>IF(L521=0,J521*K521,J521*K521*L521)</f>
        <v>1668050</v>
      </c>
      <c r="N521" s="2056">
        <f>IF(L521=0,I516*J521,I516*J521*L521)</f>
        <v>8.7855500000000006</v>
      </c>
      <c r="O521" s="2057"/>
      <c r="P521" s="1952"/>
      <c r="Q521" s="2025"/>
      <c r="R521" s="2025"/>
      <c r="S521" s="2025"/>
    </row>
    <row r="522" spans="1:19" s="474" customFormat="1" ht="15" hidden="1">
      <c r="A522" s="2050"/>
      <c r="B522" s="2051"/>
      <c r="C522" s="2051"/>
      <c r="D522" s="2051"/>
      <c r="E522" s="2052"/>
      <c r="F522" s="2052"/>
      <c r="G522" s="2065" t="s">
        <v>109</v>
      </c>
      <c r="H522" s="2052"/>
      <c r="I522" s="2052"/>
      <c r="J522" s="2052" t="s">
        <v>333</v>
      </c>
      <c r="K522" s="2055"/>
      <c r="L522" s="2054"/>
      <c r="M522" s="2066">
        <f>M517+M520+0</f>
        <v>4807550</v>
      </c>
      <c r="N522" s="2056"/>
      <c r="O522" s="2057"/>
      <c r="P522" s="1952"/>
      <c r="Q522" s="2025"/>
      <c r="R522" s="2025"/>
      <c r="S522" s="2025"/>
    </row>
    <row r="523" spans="1:19" s="474" customFormat="1" ht="15" hidden="1">
      <c r="A523" s="2050"/>
      <c r="B523" s="2051"/>
      <c r="C523" s="2051"/>
      <c r="D523" s="2051"/>
      <c r="E523" s="2052"/>
      <c r="F523" s="2052"/>
      <c r="G523" s="2065" t="s">
        <v>378</v>
      </c>
      <c r="H523" s="2052"/>
      <c r="I523" s="2052"/>
      <c r="J523" s="2052" t="str">
        <f ca="1">"T*"&amp;'THCP xay dung'!F135*100&amp;"%"</f>
        <v>T*6,2%</v>
      </c>
      <c r="K523" s="2055"/>
      <c r="L523" s="2054"/>
      <c r="M523" s="2066">
        <f ca="1">M522*'THCP xay dung'!F135*100%</f>
        <v>298068.09999999998</v>
      </c>
      <c r="N523" s="2056"/>
      <c r="O523" s="2057"/>
      <c r="P523" s="1952"/>
      <c r="Q523" s="2025"/>
      <c r="R523" s="2025"/>
      <c r="S523" s="2025"/>
    </row>
    <row r="524" spans="1:19" s="474" customFormat="1" ht="28.5" hidden="1">
      <c r="A524" s="2050"/>
      <c r="B524" s="2051"/>
      <c r="C524" s="2051"/>
      <c r="D524" s="2051"/>
      <c r="E524" s="2052"/>
      <c r="F524" s="2052"/>
      <c r="G524" s="2065" t="s">
        <v>702</v>
      </c>
      <c r="H524" s="2052"/>
      <c r="I524" s="2052"/>
      <c r="J524" s="2052" t="str">
        <f>IF('THCP xay dung'!G136&lt;&gt;1,"T*"&amp;'THCP xay dung'!F136*100&amp;"%"&amp;"*"&amp;'THCP xay dung'!G136,"T*"&amp;'THCP xay dung'!F136*100&amp;"%")</f>
        <v>T*1,1%</v>
      </c>
      <c r="K524" s="2055"/>
      <c r="L524" s="2054"/>
      <c r="M524" s="2066">
        <f>IF('THCP xay dung'!G136&lt;&gt;1,M522*'THCP xay dung'!F136*100%*'THCP xay dung'!G136,M522*'THCP xay dung'!F136*100%)</f>
        <v>52883.05</v>
      </c>
      <c r="N524" s="2056"/>
      <c r="O524" s="2057"/>
      <c r="P524" s="1952"/>
      <c r="Q524" s="2025"/>
      <c r="R524" s="2025"/>
      <c r="S524" s="2025"/>
    </row>
    <row r="525" spans="1:19" s="474" customFormat="1" ht="42.75" hidden="1">
      <c r="A525" s="2050"/>
      <c r="B525" s="2051"/>
      <c r="C525" s="2051"/>
      <c r="D525" s="2051"/>
      <c r="E525" s="2052"/>
      <c r="F525" s="2052"/>
      <c r="G525" s="2065" t="s">
        <v>703</v>
      </c>
      <c r="H525" s="2052"/>
      <c r="I525" s="2052"/>
      <c r="J525" s="2052" t="str">
        <f ca="1">"T*"&amp;'THCP xay dung'!F137*100&amp;"%"</f>
        <v>T*2%</v>
      </c>
      <c r="K525" s="2055"/>
      <c r="L525" s="2054"/>
      <c r="M525" s="2066">
        <f ca="1">M522*'THCP xay dung'!F137*100%</f>
        <v>96151</v>
      </c>
      <c r="N525" s="2056"/>
      <c r="O525" s="2057"/>
      <c r="P525" s="1952"/>
      <c r="Q525" s="2025"/>
      <c r="R525" s="2025"/>
      <c r="S525" s="2025"/>
    </row>
    <row r="526" spans="1:19" s="474" customFormat="1" ht="15" hidden="1">
      <c r="A526" s="2050"/>
      <c r="B526" s="2051"/>
      <c r="C526" s="2051"/>
      <c r="D526" s="2051"/>
      <c r="E526" s="2052"/>
      <c r="F526" s="2052"/>
      <c r="G526" s="2065" t="s">
        <v>701</v>
      </c>
      <c r="H526" s="2052"/>
      <c r="I526" s="2052"/>
      <c r="J526" s="2052" t="s">
        <v>931</v>
      </c>
      <c r="K526" s="2055"/>
      <c r="L526" s="2054"/>
      <c r="M526" s="2066">
        <f ca="1">M523+M524+M525</f>
        <v>447102.14999999997</v>
      </c>
      <c r="N526" s="2056"/>
      <c r="O526" s="2057"/>
      <c r="P526" s="1952"/>
      <c r="Q526" s="2025"/>
      <c r="R526" s="2025"/>
      <c r="S526" s="2025"/>
    </row>
    <row r="527" spans="1:19" s="474" customFormat="1" ht="15" hidden="1">
      <c r="A527" s="2050"/>
      <c r="B527" s="2051"/>
      <c r="C527" s="2051"/>
      <c r="D527" s="2051"/>
      <c r="E527" s="2052"/>
      <c r="F527" s="2052"/>
      <c r="G527" s="2065" t="s">
        <v>574</v>
      </c>
      <c r="H527" s="2052"/>
      <c r="I527" s="2052"/>
      <c r="J527" s="2052" t="str">
        <f ca="1">"(T+GT)*"&amp;'THCP xay dung'!F139*100&amp;"%"</f>
        <v>(T+GT)*6%</v>
      </c>
      <c r="K527" s="2055"/>
      <c r="L527" s="2054"/>
      <c r="M527" s="2066">
        <f ca="1">(M522+M526)*'THCP xay dung'!F139*100%</f>
        <v>315279.12900000002</v>
      </c>
      <c r="N527" s="2056"/>
      <c r="O527" s="2057"/>
      <c r="P527" s="1952"/>
      <c r="Q527" s="2025"/>
      <c r="R527" s="2025"/>
      <c r="S527" s="2025"/>
    </row>
    <row r="528" spans="1:19" s="474" customFormat="1" ht="15" hidden="1">
      <c r="A528" s="2050"/>
      <c r="B528" s="2051"/>
      <c r="C528" s="2051"/>
      <c r="D528" s="2051"/>
      <c r="E528" s="2052"/>
      <c r="F528" s="2052"/>
      <c r="G528" s="2065" t="s">
        <v>113</v>
      </c>
      <c r="H528" s="2052"/>
      <c r="I528" s="2052"/>
      <c r="J528" s="2052" t="s">
        <v>705</v>
      </c>
      <c r="K528" s="2055"/>
      <c r="L528" s="2054"/>
      <c r="M528" s="2066">
        <f ca="1">M522+M526+M527</f>
        <v>5569931.2790000001</v>
      </c>
      <c r="N528" s="2056"/>
      <c r="O528" s="2057"/>
      <c r="P528" s="1952"/>
      <c r="Q528" s="2025"/>
      <c r="R528" s="2025"/>
      <c r="S528" s="2025"/>
    </row>
    <row r="529" spans="1:19" s="474" customFormat="1" ht="15" hidden="1">
      <c r="A529" s="2050"/>
      <c r="B529" s="2051"/>
      <c r="C529" s="2051"/>
      <c r="D529" s="2051"/>
      <c r="E529" s="2052"/>
      <c r="F529" s="2052"/>
      <c r="G529" s="2065" t="s">
        <v>575</v>
      </c>
      <c r="H529" s="2052"/>
      <c r="I529" s="2052"/>
      <c r="J529" s="2052" t="str">
        <f>"G*"&amp;'THCP xay dung'!F141*100&amp;"%"</f>
        <v>G*10%</v>
      </c>
      <c r="K529" s="2055"/>
      <c r="L529" s="2054"/>
      <c r="M529" s="2066">
        <f ca="1">M528*'THCP xay dung'!F141*100%</f>
        <v>556993.12790000008</v>
      </c>
      <c r="N529" s="2056"/>
      <c r="O529" s="2057"/>
      <c r="P529" s="1952"/>
      <c r="Q529" s="2025"/>
      <c r="R529" s="2025"/>
      <c r="S529" s="2025"/>
    </row>
    <row r="530" spans="1:19" s="474" customFormat="1" ht="15" hidden="1">
      <c r="A530" s="2050"/>
      <c r="B530" s="2051"/>
      <c r="C530" s="2051"/>
      <c r="D530" s="2051"/>
      <c r="E530" s="2052"/>
      <c r="F530" s="2052"/>
      <c r="G530" s="2065" t="s">
        <v>117</v>
      </c>
      <c r="H530" s="2052"/>
      <c r="I530" s="2052"/>
      <c r="J530" s="2052" t="s">
        <v>596</v>
      </c>
      <c r="K530" s="2055"/>
      <c r="L530" s="2054"/>
      <c r="M530" s="2066">
        <f ca="1">M528+M529</f>
        <v>6126924.4068999998</v>
      </c>
      <c r="N530" s="2056"/>
      <c r="O530" s="2057"/>
      <c r="P530" s="1952"/>
      <c r="Q530" s="2025"/>
      <c r="R530" s="2025"/>
      <c r="S530" s="2025"/>
    </row>
    <row r="531" spans="1:19" s="474" customFormat="1" ht="15" hidden="1">
      <c r="A531" s="2050"/>
      <c r="B531" s="2051"/>
      <c r="C531" s="2051"/>
      <c r="D531" s="2051"/>
      <c r="E531" s="2052"/>
      <c r="F531" s="2052"/>
      <c r="G531" s="2065" t="s">
        <v>168</v>
      </c>
      <c r="H531" s="2052"/>
      <c r="I531" s="2052"/>
      <c r="J531" s="2052" t="str">
        <f ca="1">"GXD*"&amp;'THCP xay dung'!F143*100&amp;"%"</f>
        <v>GXD*6%</v>
      </c>
      <c r="K531" s="2055"/>
      <c r="L531" s="2054"/>
      <c r="M531" s="2066">
        <f ca="1">M530*'THCP xay dung'!F143*100%</f>
        <v>367615.46441399999</v>
      </c>
      <c r="N531" s="2056"/>
      <c r="O531" s="2057"/>
      <c r="P531" s="1952"/>
      <c r="Q531" s="2025"/>
      <c r="R531" s="2025"/>
      <c r="S531" s="2025"/>
    </row>
    <row r="532" spans="1:19" s="474" customFormat="1" ht="15" hidden="1">
      <c r="A532" s="2058" t="s">
        <v>304</v>
      </c>
      <c r="B532" s="2059"/>
      <c r="C532" s="2059"/>
      <c r="D532" s="2059"/>
      <c r="E532" s="2060"/>
      <c r="F532" s="2060"/>
      <c r="G532" s="2075" t="s">
        <v>1837</v>
      </c>
      <c r="H532" s="2060"/>
      <c r="I532" s="2060"/>
      <c r="J532" s="2060" t="s">
        <v>1636</v>
      </c>
      <c r="K532" s="2062"/>
      <c r="L532" s="2061"/>
      <c r="M532" s="2074">
        <f ca="1">M530+M531</f>
        <v>6494539.8713139994</v>
      </c>
      <c r="N532" s="2063"/>
      <c r="O532" s="2064"/>
      <c r="P532" s="1952"/>
      <c r="Q532" s="2025"/>
      <c r="R532" s="2025"/>
      <c r="S532" s="2025"/>
    </row>
    <row r="533" spans="1:19" s="474" customFormat="1" ht="15">
      <c r="A533" s="2136" t="str">
        <f>'Du toan XD'!A215</f>
        <v>HM5</v>
      </c>
      <c r="B533" s="2137" t="str">
        <f>'Du toan XD'!E215</f>
        <v>HM</v>
      </c>
      <c r="C533" s="2137"/>
      <c r="D533" s="2137"/>
      <c r="E533" s="2138"/>
      <c r="F533" s="2138"/>
      <c r="G533" s="2138" t="str">
        <f>'Du toan XD'!F215</f>
        <v>PHẦN HOÀN THIỆN</v>
      </c>
      <c r="H533" s="2139"/>
      <c r="I533" s="2139"/>
      <c r="J533" s="1953"/>
      <c r="K533" s="1954"/>
      <c r="L533" s="1953"/>
      <c r="M533" s="1955"/>
      <c r="N533" s="2025"/>
      <c r="O533" s="2025"/>
      <c r="P533" s="2025"/>
      <c r="Q533" s="2025"/>
      <c r="R533" s="2025"/>
      <c r="S533" s="2025"/>
    </row>
    <row r="534" spans="1:19" s="474" customFormat="1" ht="30">
      <c r="A534" s="2282">
        <v>87</v>
      </c>
      <c r="B534" s="2283">
        <f>'Du toan XD'!B216</f>
        <v>1</v>
      </c>
      <c r="C534" s="2283" t="s">
        <v>1964</v>
      </c>
      <c r="D534" s="2283" t="s">
        <v>1965</v>
      </c>
      <c r="E534" s="2284" t="s">
        <v>1562</v>
      </c>
      <c r="F534" s="2284"/>
      <c r="G534" s="2309" t="str">
        <f>'Du toan XD'!F216</f>
        <v>Trát tường ngoài, chiều dày trát 1,5cm, vữa XM PCB40 mác 50</v>
      </c>
      <c r="H534" s="2284" t="str">
        <f>'Du toan XD'!G216</f>
        <v>m²</v>
      </c>
      <c r="I534" s="2284">
        <f>'Du toan XD'!H216</f>
        <v>140.83199999999999</v>
      </c>
      <c r="J534" s="2287"/>
      <c r="K534" s="2286"/>
      <c r="L534" s="2287"/>
      <c r="M534" s="2286"/>
      <c r="N534" s="2288"/>
      <c r="O534" s="2289"/>
      <c r="P534" s="1952">
        <f>M535</f>
        <v>6922</v>
      </c>
      <c r="Q534" s="2025"/>
      <c r="R534" s="2025">
        <f>M540</f>
        <v>59410</v>
      </c>
      <c r="S534" s="2025">
        <f>M542</f>
        <v>96</v>
      </c>
    </row>
    <row r="535" spans="1:19" s="474" customFormat="1" ht="15">
      <c r="A535" s="2290"/>
      <c r="B535" s="2291"/>
      <c r="C535" s="2291"/>
      <c r="D535" s="2291"/>
      <c r="E535" s="2292"/>
      <c r="F535" s="2292"/>
      <c r="G535" s="2311" t="s">
        <v>224</v>
      </c>
      <c r="H535" s="2311"/>
      <c r="I535" s="2311"/>
      <c r="J535" s="2319"/>
      <c r="K535" s="2312"/>
      <c r="L535" s="2313"/>
      <c r="M535" s="2312">
        <f>ROUND(SUM(M536:M539),Config!C103)</f>
        <v>6922</v>
      </c>
      <c r="N535" s="2298"/>
      <c r="O535" s="2299"/>
      <c r="P535" s="1952"/>
      <c r="Q535" s="2025"/>
      <c r="R535" s="2025"/>
      <c r="S535" s="2025"/>
    </row>
    <row r="536" spans="1:19" s="474" customFormat="1" ht="15">
      <c r="A536" s="2290"/>
      <c r="B536" s="2291"/>
      <c r="C536" s="2291" t="s">
        <v>1964</v>
      </c>
      <c r="D536" s="2291"/>
      <c r="E536" s="2292"/>
      <c r="F536" s="2292" t="s">
        <v>1901</v>
      </c>
      <c r="G536" s="2310" t="s">
        <v>1902</v>
      </c>
      <c r="H536" s="2292" t="s">
        <v>1856</v>
      </c>
      <c r="I536" s="2292"/>
      <c r="J536" s="2296">
        <f>218*0.017</f>
        <v>3.7060000000000004</v>
      </c>
      <c r="K536" s="2364">
        <f>'TH vat tu XD'!G139</f>
        <v>1380</v>
      </c>
      <c r="L536" s="2296"/>
      <c r="M536" s="2295">
        <f>IF(L536=0,J536*K536,J536*K536*L536)</f>
        <v>5114.2800000000007</v>
      </c>
      <c r="N536" s="2298">
        <f>IF(L536=0,I534*J536,I534*J536*L536)</f>
        <v>521.92339200000004</v>
      </c>
      <c r="O536" s="2299">
        <f>J539%*N536</f>
        <v>2.6096169600000003</v>
      </c>
      <c r="P536" s="1952"/>
      <c r="Q536" s="2025"/>
      <c r="R536" s="2025"/>
      <c r="S536" s="2025"/>
    </row>
    <row r="537" spans="1:19" s="474" customFormat="1" ht="15">
      <c r="A537" s="2290"/>
      <c r="B537" s="2291"/>
      <c r="C537" s="2291" t="s">
        <v>1964</v>
      </c>
      <c r="D537" s="2291"/>
      <c r="E537" s="2292"/>
      <c r="F537" s="2292" t="s">
        <v>1967</v>
      </c>
      <c r="G537" s="2310" t="s">
        <v>1968</v>
      </c>
      <c r="H537" s="2292" t="s">
        <v>1848</v>
      </c>
      <c r="I537" s="2292"/>
      <c r="J537" s="2296">
        <f>1.201*0.017</f>
        <v>2.0417000000000001E-2</v>
      </c>
      <c r="K537" s="2364">
        <f>'TH vat tu XD'!G129</f>
        <v>85000</v>
      </c>
      <c r="L537" s="2296"/>
      <c r="M537" s="2295">
        <f>IF(L537=0,J537*K537,J537*K537*L537)</f>
        <v>1735.4450000000002</v>
      </c>
      <c r="N537" s="2298">
        <f>IF(L537=0,I534*J537,I534*J537*L537)</f>
        <v>2.875366944</v>
      </c>
      <c r="O537" s="2299">
        <f>J539%*N537</f>
        <v>1.437683472E-2</v>
      </c>
      <c r="P537" s="1952"/>
      <c r="Q537" s="2025"/>
      <c r="R537" s="2025"/>
      <c r="S537" s="2025"/>
    </row>
    <row r="538" spans="1:19" s="474" customFormat="1" ht="15">
      <c r="A538" s="2290"/>
      <c r="B538" s="2291"/>
      <c r="C538" s="2291" t="s">
        <v>1964</v>
      </c>
      <c r="D538" s="2291"/>
      <c r="E538" s="2292"/>
      <c r="F538" s="2292" t="s">
        <v>1859</v>
      </c>
      <c r="G538" s="2310" t="s">
        <v>1860</v>
      </c>
      <c r="H538" s="2292" t="s">
        <v>1861</v>
      </c>
      <c r="I538" s="2292"/>
      <c r="J538" s="2296">
        <f>281*0.017</f>
        <v>4.7770000000000001</v>
      </c>
      <c r="K538" s="2364">
        <f>'TH vat tu XD'!G133</f>
        <v>8</v>
      </c>
      <c r="L538" s="2296"/>
      <c r="M538" s="2295">
        <f>IF(L538=0,J538*K538,J538*K538*L538)</f>
        <v>38.216000000000001</v>
      </c>
      <c r="N538" s="2298">
        <f>IF(L538=0,I534*J538,I534*J538*L538)</f>
        <v>672.75446399999998</v>
      </c>
      <c r="O538" s="2299">
        <f>J539%*N538</f>
        <v>3.3637723199999998</v>
      </c>
      <c r="P538" s="1952"/>
      <c r="Q538" s="2025"/>
      <c r="R538" s="2025"/>
      <c r="S538" s="2025"/>
    </row>
    <row r="539" spans="1:19" s="474" customFormat="1" ht="15">
      <c r="A539" s="2290"/>
      <c r="B539" s="2291"/>
      <c r="C539" s="2291"/>
      <c r="D539" s="2291"/>
      <c r="E539" s="2292"/>
      <c r="F539" s="2292" t="s">
        <v>1882</v>
      </c>
      <c r="G539" s="2310" t="s">
        <v>226</v>
      </c>
      <c r="H539" s="2292" t="s">
        <v>1850</v>
      </c>
      <c r="I539" s="2292"/>
      <c r="J539" s="2296">
        <v>0.5</v>
      </c>
      <c r="K539" s="2295"/>
      <c r="L539" s="2296"/>
      <c r="M539" s="2295">
        <f>SUM(M536:M538)*J539%</f>
        <v>34.439705000000004</v>
      </c>
      <c r="N539" s="2298"/>
      <c r="O539" s="2299"/>
      <c r="P539" s="1952"/>
      <c r="Q539" s="2025"/>
      <c r="R539" s="2025"/>
      <c r="S539" s="2025"/>
    </row>
    <row r="540" spans="1:19" s="474" customFormat="1" ht="15">
      <c r="A540" s="2290"/>
      <c r="B540" s="2291"/>
      <c r="C540" s="2291"/>
      <c r="D540" s="2291"/>
      <c r="E540" s="2292"/>
      <c r="F540" s="2292"/>
      <c r="G540" s="2311" t="s">
        <v>225</v>
      </c>
      <c r="H540" s="2311"/>
      <c r="I540" s="2311"/>
      <c r="J540" s="2319"/>
      <c r="K540" s="2312"/>
      <c r="L540" s="2313"/>
      <c r="M540" s="2312">
        <f>ROUND(SUM(M541:M541),Config!C103)</f>
        <v>59410</v>
      </c>
      <c r="N540" s="2298"/>
      <c r="O540" s="2299"/>
      <c r="P540" s="1952"/>
      <c r="Q540" s="2025"/>
      <c r="R540" s="2025"/>
      <c r="S540" s="2025"/>
    </row>
    <row r="541" spans="1:19" s="474" customFormat="1" ht="15">
      <c r="A541" s="2290"/>
      <c r="B541" s="2291"/>
      <c r="C541" s="2291"/>
      <c r="D541" s="2291"/>
      <c r="E541" s="2292"/>
      <c r="F541" s="2292" t="s">
        <v>1866</v>
      </c>
      <c r="G541" s="2310" t="s">
        <v>1867</v>
      </c>
      <c r="H541" s="2292" t="s">
        <v>1833</v>
      </c>
      <c r="I541" s="2292"/>
      <c r="J541" s="2296">
        <v>0.26</v>
      </c>
      <c r="K541" s="2364">
        <f>'TH vat tu XD'!G143</f>
        <v>228500</v>
      </c>
      <c r="L541" s="2296"/>
      <c r="M541" s="2295">
        <f>IF(L541=0,J541*K541,J541*K541*L541)</f>
        <v>59410</v>
      </c>
      <c r="N541" s="2298">
        <f>IF(L541=0,I534*J541,I534*J541*L541)</f>
        <v>36.616320000000002</v>
      </c>
      <c r="O541" s="2299"/>
      <c r="P541" s="1952"/>
      <c r="Q541" s="2025"/>
      <c r="R541" s="2025"/>
      <c r="S541" s="2025"/>
    </row>
    <row r="542" spans="1:19" s="474" customFormat="1" ht="15">
      <c r="A542" s="2290"/>
      <c r="B542" s="2291"/>
      <c r="C542" s="2291"/>
      <c r="D542" s="2291"/>
      <c r="E542" s="2292"/>
      <c r="F542" s="2292"/>
      <c r="G542" s="2311" t="s">
        <v>228</v>
      </c>
      <c r="H542" s="2311"/>
      <c r="I542" s="2311"/>
      <c r="J542" s="2319"/>
      <c r="K542" s="2312"/>
      <c r="L542" s="2313"/>
      <c r="M542" s="2312">
        <f>ROUND(SUM(M543:M543),Config!C103)</f>
        <v>96</v>
      </c>
      <c r="N542" s="2298"/>
      <c r="O542" s="2299"/>
      <c r="P542" s="1952"/>
      <c r="Q542" s="2025"/>
      <c r="R542" s="2025"/>
      <c r="S542" s="2025"/>
    </row>
    <row r="543" spans="1:19" s="474" customFormat="1" ht="15">
      <c r="A543" s="2290"/>
      <c r="B543" s="2291"/>
      <c r="C543" s="2291"/>
      <c r="D543" s="2291"/>
      <c r="E543" s="2292"/>
      <c r="F543" s="2292" t="s">
        <v>1868</v>
      </c>
      <c r="G543" s="2310" t="s">
        <v>1869</v>
      </c>
      <c r="H543" s="2292" t="s">
        <v>1836</v>
      </c>
      <c r="I543" s="2292"/>
      <c r="J543" s="2296">
        <v>2E-3</v>
      </c>
      <c r="K543" s="2364">
        <f>'TH vat tu XD'!G147</f>
        <v>48226</v>
      </c>
      <c r="L543" s="2296"/>
      <c r="M543" s="2295">
        <f>IF(L543=0,J543*K543,J543*K543*L543)</f>
        <v>96.451999999999998</v>
      </c>
      <c r="N543" s="2298">
        <f>IF(L543=0,I534*J543,I534*J543*L543)</f>
        <v>0.28166399999999997</v>
      </c>
      <c r="O543" s="2299"/>
      <c r="P543" s="1952"/>
      <c r="Q543" s="2025"/>
      <c r="R543" s="2025"/>
      <c r="S543" s="2025"/>
    </row>
    <row r="544" spans="1:19" s="474" customFormat="1" ht="15" hidden="1">
      <c r="A544" s="2290"/>
      <c r="B544" s="2291"/>
      <c r="C544" s="2291"/>
      <c r="D544" s="2291"/>
      <c r="E544" s="2292"/>
      <c r="F544" s="2292"/>
      <c r="G544" s="2293" t="s">
        <v>109</v>
      </c>
      <c r="H544" s="2292"/>
      <c r="I544" s="2292"/>
      <c r="J544" s="2292" t="s">
        <v>333</v>
      </c>
      <c r="K544" s="2295"/>
      <c r="L544" s="2296"/>
      <c r="M544" s="2297">
        <f>M535+M540+M542</f>
        <v>66428</v>
      </c>
      <c r="N544" s="2298"/>
      <c r="O544" s="2299"/>
      <c r="P544" s="1952"/>
      <c r="Q544" s="2025"/>
      <c r="R544" s="2025"/>
      <c r="S544" s="2025"/>
    </row>
    <row r="545" spans="1:19" s="474" customFormat="1" ht="15" hidden="1">
      <c r="A545" s="2290"/>
      <c r="B545" s="2291"/>
      <c r="C545" s="2291"/>
      <c r="D545" s="2291"/>
      <c r="E545" s="2292"/>
      <c r="F545" s="2292"/>
      <c r="G545" s="2293" t="s">
        <v>378</v>
      </c>
      <c r="H545" s="2292"/>
      <c r="I545" s="2292"/>
      <c r="J545" s="2292" t="str">
        <f ca="1">"T*"&amp;'THCP xay dung'!F164*100&amp;"%"</f>
        <v>T*6,2%</v>
      </c>
      <c r="K545" s="2295"/>
      <c r="L545" s="2296"/>
      <c r="M545" s="2297">
        <f ca="1">M544*'THCP xay dung'!F164*100%</f>
        <v>4118.5360000000001</v>
      </c>
      <c r="N545" s="2298"/>
      <c r="O545" s="2299"/>
      <c r="P545" s="1952"/>
      <c r="Q545" s="2025"/>
      <c r="R545" s="2025"/>
      <c r="S545" s="2025"/>
    </row>
    <row r="546" spans="1:19" s="474" customFormat="1" ht="28.5" hidden="1">
      <c r="A546" s="2290"/>
      <c r="B546" s="2291"/>
      <c r="C546" s="2291"/>
      <c r="D546" s="2291"/>
      <c r="E546" s="2292"/>
      <c r="F546" s="2292"/>
      <c r="G546" s="2293" t="s">
        <v>702</v>
      </c>
      <c r="H546" s="2292"/>
      <c r="I546" s="2292"/>
      <c r="J546" s="2292" t="str">
        <f>IF('THCP xay dung'!G165&lt;&gt;1,"T*"&amp;'THCP xay dung'!F165*100&amp;"%"&amp;"*"&amp;'THCP xay dung'!G165,"T*"&amp;'THCP xay dung'!F165*100&amp;"%")</f>
        <v>T*1,1%</v>
      </c>
      <c r="K546" s="2295"/>
      <c r="L546" s="2296"/>
      <c r="M546" s="2297">
        <f>IF('THCP xay dung'!G165&lt;&gt;1,M544*'THCP xay dung'!F165*100%*'THCP xay dung'!G165,M544*'THCP xay dung'!F165*100%)</f>
        <v>730.70800000000008</v>
      </c>
      <c r="N546" s="2298"/>
      <c r="O546" s="2299"/>
      <c r="P546" s="1952"/>
      <c r="Q546" s="2025"/>
      <c r="R546" s="2025"/>
      <c r="S546" s="2025"/>
    </row>
    <row r="547" spans="1:19" s="474" customFormat="1" ht="42.75" hidden="1">
      <c r="A547" s="2290"/>
      <c r="B547" s="2291"/>
      <c r="C547" s="2291"/>
      <c r="D547" s="2291"/>
      <c r="E547" s="2292"/>
      <c r="F547" s="2292"/>
      <c r="G547" s="2293" t="s">
        <v>703</v>
      </c>
      <c r="H547" s="2292"/>
      <c r="I547" s="2292"/>
      <c r="J547" s="2292" t="str">
        <f ca="1">"T*"&amp;'THCP xay dung'!F166*100&amp;"%"</f>
        <v>T*2%</v>
      </c>
      <c r="K547" s="2295"/>
      <c r="L547" s="2296"/>
      <c r="M547" s="2297">
        <f ca="1">M544*'THCP xay dung'!F166*100%</f>
        <v>1328.56</v>
      </c>
      <c r="N547" s="2298"/>
      <c r="O547" s="2299"/>
      <c r="P547" s="1952"/>
      <c r="Q547" s="2025"/>
      <c r="R547" s="2025"/>
      <c r="S547" s="2025"/>
    </row>
    <row r="548" spans="1:19" s="474" customFormat="1" ht="15" hidden="1">
      <c r="A548" s="2290"/>
      <c r="B548" s="2291"/>
      <c r="C548" s="2291"/>
      <c r="D548" s="2291"/>
      <c r="E548" s="2292"/>
      <c r="F548" s="2292"/>
      <c r="G548" s="2293" t="s">
        <v>701</v>
      </c>
      <c r="H548" s="2292"/>
      <c r="I548" s="2292"/>
      <c r="J548" s="2292" t="s">
        <v>931</v>
      </c>
      <c r="K548" s="2295"/>
      <c r="L548" s="2296"/>
      <c r="M548" s="2297">
        <f ca="1">M545+M546+M547</f>
        <v>6177.8040000000001</v>
      </c>
      <c r="N548" s="2298"/>
      <c r="O548" s="2299"/>
      <c r="P548" s="1952"/>
      <c r="Q548" s="2025"/>
      <c r="R548" s="2025"/>
      <c r="S548" s="2025"/>
    </row>
    <row r="549" spans="1:19" s="474" customFormat="1" ht="15" hidden="1">
      <c r="A549" s="2290"/>
      <c r="B549" s="2291"/>
      <c r="C549" s="2291"/>
      <c r="D549" s="2291"/>
      <c r="E549" s="2292"/>
      <c r="F549" s="2292"/>
      <c r="G549" s="2293" t="s">
        <v>574</v>
      </c>
      <c r="H549" s="2292"/>
      <c r="I549" s="2292"/>
      <c r="J549" s="2292" t="str">
        <f ca="1">"(T+GT)*"&amp;'THCP xay dung'!F168*100&amp;"%"</f>
        <v>(T+GT)*6%</v>
      </c>
      <c r="K549" s="2295"/>
      <c r="L549" s="2296"/>
      <c r="M549" s="2297">
        <f ca="1">(M544+M548)*'THCP xay dung'!F168*100%</f>
        <v>4356.3482400000003</v>
      </c>
      <c r="N549" s="2298"/>
      <c r="O549" s="2299"/>
      <c r="P549" s="1952"/>
      <c r="Q549" s="2025"/>
      <c r="R549" s="2025"/>
      <c r="S549" s="2025"/>
    </row>
    <row r="550" spans="1:19" s="474" customFormat="1" ht="15" hidden="1">
      <c r="A550" s="2290"/>
      <c r="B550" s="2291"/>
      <c r="C550" s="2291"/>
      <c r="D550" s="2291"/>
      <c r="E550" s="2292"/>
      <c r="F550" s="2292"/>
      <c r="G550" s="2293" t="s">
        <v>113</v>
      </c>
      <c r="H550" s="2292"/>
      <c r="I550" s="2292"/>
      <c r="J550" s="2292" t="s">
        <v>705</v>
      </c>
      <c r="K550" s="2295"/>
      <c r="L550" s="2296"/>
      <c r="M550" s="2297">
        <f ca="1">M544+M548+M549</f>
        <v>76962.15224000001</v>
      </c>
      <c r="N550" s="2298"/>
      <c r="O550" s="2299"/>
      <c r="P550" s="1952"/>
      <c r="Q550" s="2025"/>
      <c r="R550" s="2025"/>
      <c r="S550" s="2025"/>
    </row>
    <row r="551" spans="1:19" s="474" customFormat="1" ht="15" hidden="1">
      <c r="A551" s="2290"/>
      <c r="B551" s="2291"/>
      <c r="C551" s="2291"/>
      <c r="D551" s="2291"/>
      <c r="E551" s="2292"/>
      <c r="F551" s="2292"/>
      <c r="G551" s="2293" t="s">
        <v>575</v>
      </c>
      <c r="H551" s="2292"/>
      <c r="I551" s="2292"/>
      <c r="J551" s="2292" t="str">
        <f>"G*"&amp;'THCP xay dung'!F170*100&amp;"%"</f>
        <v>G*10%</v>
      </c>
      <c r="K551" s="2295"/>
      <c r="L551" s="2296"/>
      <c r="M551" s="2297">
        <f ca="1">M550*'THCP xay dung'!F170*100%</f>
        <v>7696.2152240000014</v>
      </c>
      <c r="N551" s="2298"/>
      <c r="O551" s="2299"/>
      <c r="P551" s="1952"/>
      <c r="Q551" s="2025"/>
      <c r="R551" s="2025"/>
      <c r="S551" s="2025"/>
    </row>
    <row r="552" spans="1:19" s="474" customFormat="1" ht="15" hidden="1">
      <c r="A552" s="2290"/>
      <c r="B552" s="2291"/>
      <c r="C552" s="2291"/>
      <c r="D552" s="2291"/>
      <c r="E552" s="2292"/>
      <c r="F552" s="2292"/>
      <c r="G552" s="2293" t="s">
        <v>117</v>
      </c>
      <c r="H552" s="2292"/>
      <c r="I552" s="2292"/>
      <c r="J552" s="2292" t="s">
        <v>596</v>
      </c>
      <c r="K552" s="2295"/>
      <c r="L552" s="2296"/>
      <c r="M552" s="2297">
        <f ca="1">M550+M551</f>
        <v>84658.36746400001</v>
      </c>
      <c r="N552" s="2298"/>
      <c r="O552" s="2299"/>
      <c r="P552" s="1952"/>
      <c r="Q552" s="2025"/>
      <c r="R552" s="2025"/>
      <c r="S552" s="2025"/>
    </row>
    <row r="553" spans="1:19" s="474" customFormat="1" ht="15" hidden="1">
      <c r="A553" s="2290"/>
      <c r="B553" s="2291"/>
      <c r="C553" s="2291"/>
      <c r="D553" s="2291"/>
      <c r="E553" s="2292"/>
      <c r="F553" s="2292"/>
      <c r="G553" s="2293" t="s">
        <v>168</v>
      </c>
      <c r="H553" s="2292"/>
      <c r="I553" s="2292"/>
      <c r="J553" s="2292" t="str">
        <f ca="1">"GXD*"&amp;'THCP xay dung'!F172*100&amp;"%"</f>
        <v>GXD*6%</v>
      </c>
      <c r="K553" s="2295"/>
      <c r="L553" s="2296"/>
      <c r="M553" s="2297">
        <f ca="1">M552*'THCP xay dung'!F172*100%</f>
        <v>5079.5020478400002</v>
      </c>
      <c r="N553" s="2298"/>
      <c r="O553" s="2299"/>
      <c r="P553" s="1952"/>
      <c r="Q553" s="2025"/>
      <c r="R553" s="2025"/>
      <c r="S553" s="2025"/>
    </row>
    <row r="554" spans="1:19" s="474" customFormat="1" ht="15" hidden="1">
      <c r="A554" s="2315" t="s">
        <v>304</v>
      </c>
      <c r="B554" s="2316"/>
      <c r="C554" s="2316"/>
      <c r="D554" s="2316"/>
      <c r="E554" s="2317"/>
      <c r="F554" s="2317"/>
      <c r="G554" s="2303" t="s">
        <v>1837</v>
      </c>
      <c r="H554" s="2302"/>
      <c r="I554" s="2302"/>
      <c r="J554" s="2302" t="s">
        <v>1636</v>
      </c>
      <c r="K554" s="2304"/>
      <c r="L554" s="2305"/>
      <c r="M554" s="2306">
        <f ca="1">M552+M553</f>
        <v>89737.869511840006</v>
      </c>
      <c r="N554" s="2307"/>
      <c r="O554" s="2308"/>
      <c r="P554" s="1952"/>
      <c r="Q554" s="2025"/>
      <c r="R554" s="2025"/>
      <c r="S554" s="2025"/>
    </row>
    <row r="555" spans="1:19" s="474" customFormat="1" ht="30">
      <c r="A555" s="2282">
        <v>88</v>
      </c>
      <c r="B555" s="2283">
        <f>'Du toan XD'!B227</f>
        <v>2</v>
      </c>
      <c r="C555" s="2283" t="s">
        <v>1964</v>
      </c>
      <c r="D555" s="2283" t="s">
        <v>1969</v>
      </c>
      <c r="E555" s="2284" t="s">
        <v>1563</v>
      </c>
      <c r="F555" s="2284"/>
      <c r="G555" s="2309" t="str">
        <f>'Du toan XD'!F227</f>
        <v>Trát tường trong, chiều dày trát 1,5cm, vữa XM PCB40 mác 50</v>
      </c>
      <c r="H555" s="2284" t="str">
        <f>'Du toan XD'!G227</f>
        <v>m²</v>
      </c>
      <c r="I555" s="2284">
        <f>'Du toan XD'!H227</f>
        <v>254.09980000000002</v>
      </c>
      <c r="J555" s="2285"/>
      <c r="K555" s="2286"/>
      <c r="L555" s="2287"/>
      <c r="M555" s="2286"/>
      <c r="N555" s="2288"/>
      <c r="O555" s="2289"/>
      <c r="P555" s="1952">
        <f>M556</f>
        <v>6922</v>
      </c>
      <c r="Q555" s="2025"/>
      <c r="R555" s="2025">
        <f>M561</f>
        <v>45700</v>
      </c>
      <c r="S555" s="2025">
        <f>M563</f>
        <v>96</v>
      </c>
    </row>
    <row r="556" spans="1:19" s="474" customFormat="1" ht="15">
      <c r="A556" s="2290"/>
      <c r="B556" s="2291"/>
      <c r="C556" s="2291"/>
      <c r="D556" s="2291"/>
      <c r="E556" s="2292"/>
      <c r="F556" s="2292"/>
      <c r="G556" s="2311" t="s">
        <v>224</v>
      </c>
      <c r="H556" s="2311"/>
      <c r="I556" s="2311"/>
      <c r="J556" s="2314"/>
      <c r="K556" s="2312"/>
      <c r="L556" s="2313"/>
      <c r="M556" s="2312">
        <f>ROUND(SUM(M557:M560),Config!C103)</f>
        <v>6922</v>
      </c>
      <c r="N556" s="2298"/>
      <c r="O556" s="2299"/>
      <c r="P556" s="1952"/>
      <c r="Q556" s="2025"/>
      <c r="R556" s="2025"/>
      <c r="S556" s="2025"/>
    </row>
    <row r="557" spans="1:19" s="474" customFormat="1" ht="15">
      <c r="A557" s="2290"/>
      <c r="B557" s="2291"/>
      <c r="C557" s="2291" t="s">
        <v>1964</v>
      </c>
      <c r="D557" s="2291"/>
      <c r="E557" s="2292"/>
      <c r="F557" s="2292" t="s">
        <v>1901</v>
      </c>
      <c r="G557" s="2310" t="s">
        <v>1902</v>
      </c>
      <c r="H557" s="2292" t="s">
        <v>1856</v>
      </c>
      <c r="I557" s="2292"/>
      <c r="J557" s="2294">
        <f>218*0.017</f>
        <v>3.7060000000000004</v>
      </c>
      <c r="K557" s="2364">
        <f>'TH vat tu XD'!G139</f>
        <v>1380</v>
      </c>
      <c r="L557" s="2296"/>
      <c r="M557" s="2295">
        <f>IF(L557=0,J557*K557,J557*K557*L557)</f>
        <v>5114.2800000000007</v>
      </c>
      <c r="N557" s="2298">
        <f>IF(L557=0,I555*J557,I555*J557*L557)</f>
        <v>941.69385880000016</v>
      </c>
      <c r="O557" s="2299">
        <f>J560%*N557</f>
        <v>4.7084692940000012</v>
      </c>
      <c r="P557" s="1952"/>
      <c r="Q557" s="2025"/>
      <c r="R557" s="2025"/>
      <c r="S557" s="2025"/>
    </row>
    <row r="558" spans="1:19" s="474" customFormat="1" ht="15">
      <c r="A558" s="2290"/>
      <c r="B558" s="2291"/>
      <c r="C558" s="2291" t="s">
        <v>1964</v>
      </c>
      <c r="D558" s="2291"/>
      <c r="E558" s="2292"/>
      <c r="F558" s="2292" t="s">
        <v>1967</v>
      </c>
      <c r="G558" s="2310" t="s">
        <v>1968</v>
      </c>
      <c r="H558" s="2292" t="s">
        <v>1848</v>
      </c>
      <c r="I558" s="2292"/>
      <c r="J558" s="2294">
        <f>1.201*0.017</f>
        <v>2.0417000000000001E-2</v>
      </c>
      <c r="K558" s="2364">
        <f>'TH vat tu XD'!G129</f>
        <v>85000</v>
      </c>
      <c r="L558" s="2296"/>
      <c r="M558" s="2295">
        <f>IF(L558=0,J558*K558,J558*K558*L558)</f>
        <v>1735.4450000000002</v>
      </c>
      <c r="N558" s="2298">
        <f>IF(L558=0,I555*J558,I555*J558*L558)</f>
        <v>5.1879556166000009</v>
      </c>
      <c r="O558" s="2299">
        <f>J560%*N558</f>
        <v>2.5939778083000006E-2</v>
      </c>
      <c r="P558" s="1952"/>
      <c r="Q558" s="2025"/>
      <c r="R558" s="2025"/>
      <c r="S558" s="2025"/>
    </row>
    <row r="559" spans="1:19" s="474" customFormat="1" ht="15">
      <c r="A559" s="2290"/>
      <c r="B559" s="2291"/>
      <c r="C559" s="2291" t="s">
        <v>1964</v>
      </c>
      <c r="D559" s="2291"/>
      <c r="E559" s="2292"/>
      <c r="F559" s="2292" t="s">
        <v>1859</v>
      </c>
      <c r="G559" s="2310" t="s">
        <v>1860</v>
      </c>
      <c r="H559" s="2292" t="s">
        <v>1861</v>
      </c>
      <c r="I559" s="2292"/>
      <c r="J559" s="2294">
        <f>281*0.017</f>
        <v>4.7770000000000001</v>
      </c>
      <c r="K559" s="2364">
        <f>'TH vat tu XD'!G133</f>
        <v>8</v>
      </c>
      <c r="L559" s="2296"/>
      <c r="M559" s="2295">
        <f>IF(L559=0,J559*K559,J559*K559*L559)</f>
        <v>38.216000000000001</v>
      </c>
      <c r="N559" s="2298">
        <f>IF(L559=0,I555*J559,I555*J559*L559)</f>
        <v>1213.8347446</v>
      </c>
      <c r="O559" s="2299">
        <f>J560%*N559</f>
        <v>6.0691737230000005</v>
      </c>
      <c r="P559" s="1952"/>
      <c r="Q559" s="2025"/>
      <c r="R559" s="2025"/>
      <c r="S559" s="2025"/>
    </row>
    <row r="560" spans="1:19" s="474" customFormat="1" ht="15">
      <c r="A560" s="2290"/>
      <c r="B560" s="2291"/>
      <c r="C560" s="2291"/>
      <c r="D560" s="2291"/>
      <c r="E560" s="2292"/>
      <c r="F560" s="2292" t="s">
        <v>1882</v>
      </c>
      <c r="G560" s="2310" t="s">
        <v>226</v>
      </c>
      <c r="H560" s="2292" t="s">
        <v>1850</v>
      </c>
      <c r="I560" s="2292"/>
      <c r="J560" s="2294">
        <v>0.5</v>
      </c>
      <c r="K560" s="2295"/>
      <c r="L560" s="2296"/>
      <c r="M560" s="2295">
        <f>SUM(M557:M559)*J560%</f>
        <v>34.439705000000004</v>
      </c>
      <c r="N560" s="2298"/>
      <c r="O560" s="2299"/>
      <c r="P560" s="1952"/>
      <c r="Q560" s="2025"/>
      <c r="R560" s="2025"/>
      <c r="S560" s="2025"/>
    </row>
    <row r="561" spans="1:19" s="474" customFormat="1" ht="15">
      <c r="A561" s="2290"/>
      <c r="B561" s="2291"/>
      <c r="C561" s="2291"/>
      <c r="D561" s="2291"/>
      <c r="E561" s="2292"/>
      <c r="F561" s="2292"/>
      <c r="G561" s="2311" t="s">
        <v>225</v>
      </c>
      <c r="H561" s="2311"/>
      <c r="I561" s="2311"/>
      <c r="J561" s="2314"/>
      <c r="K561" s="2312"/>
      <c r="L561" s="2313"/>
      <c r="M561" s="2312">
        <f>ROUND(SUM(M562:M562),Config!C103)</f>
        <v>45700</v>
      </c>
      <c r="N561" s="2298"/>
      <c r="O561" s="2299"/>
      <c r="P561" s="1952"/>
      <c r="Q561" s="2025"/>
      <c r="R561" s="2025"/>
      <c r="S561" s="2025"/>
    </row>
    <row r="562" spans="1:19" s="474" customFormat="1" ht="15">
      <c r="A562" s="2290"/>
      <c r="B562" s="2291"/>
      <c r="C562" s="2291"/>
      <c r="D562" s="2291"/>
      <c r="E562" s="2292"/>
      <c r="F562" s="2292" t="s">
        <v>1866</v>
      </c>
      <c r="G562" s="2310" t="s">
        <v>1867</v>
      </c>
      <c r="H562" s="2292" t="s">
        <v>1833</v>
      </c>
      <c r="I562" s="2292"/>
      <c r="J562" s="2294">
        <v>0.2</v>
      </c>
      <c r="K562" s="2364">
        <f>'TH vat tu XD'!G143</f>
        <v>228500</v>
      </c>
      <c r="L562" s="2296"/>
      <c r="M562" s="2295">
        <f>IF(L562=0,J562*K562,J562*K562*L562)</f>
        <v>45700</v>
      </c>
      <c r="N562" s="2298">
        <f>IF(L562=0,I555*J562,I555*J562*L562)</f>
        <v>50.819960000000009</v>
      </c>
      <c r="O562" s="2299"/>
      <c r="P562" s="1952"/>
      <c r="Q562" s="2025"/>
      <c r="R562" s="2025"/>
      <c r="S562" s="2025"/>
    </row>
    <row r="563" spans="1:19" s="474" customFormat="1" ht="15">
      <c r="A563" s="2290"/>
      <c r="B563" s="2291"/>
      <c r="C563" s="2291"/>
      <c r="D563" s="2291"/>
      <c r="E563" s="2292"/>
      <c r="F563" s="2292"/>
      <c r="G563" s="2311" t="s">
        <v>228</v>
      </c>
      <c r="H563" s="2311"/>
      <c r="I563" s="2311"/>
      <c r="J563" s="2314"/>
      <c r="K563" s="2312"/>
      <c r="L563" s="2313"/>
      <c r="M563" s="2312">
        <f>ROUND(SUM(M564:M564),Config!C103)</f>
        <v>96</v>
      </c>
      <c r="N563" s="2298"/>
      <c r="O563" s="2299"/>
      <c r="P563" s="1952"/>
      <c r="Q563" s="2025"/>
      <c r="R563" s="2025"/>
      <c r="S563" s="2025"/>
    </row>
    <row r="564" spans="1:19" s="474" customFormat="1" ht="15">
      <c r="A564" s="2290"/>
      <c r="B564" s="2291"/>
      <c r="C564" s="2291"/>
      <c r="D564" s="2291"/>
      <c r="E564" s="2292"/>
      <c r="F564" s="2292" t="s">
        <v>1868</v>
      </c>
      <c r="G564" s="2310" t="s">
        <v>1869</v>
      </c>
      <c r="H564" s="2292" t="s">
        <v>1836</v>
      </c>
      <c r="I564" s="2292"/>
      <c r="J564" s="2294">
        <v>2E-3</v>
      </c>
      <c r="K564" s="2364">
        <f>'TH vat tu XD'!G147</f>
        <v>48226</v>
      </c>
      <c r="L564" s="2296"/>
      <c r="M564" s="2295">
        <f>IF(L564=0,J564*K564,J564*K564*L564)</f>
        <v>96.451999999999998</v>
      </c>
      <c r="N564" s="2298">
        <f>IF(L564=0,I555*J564,I555*J564*L564)</f>
        <v>0.50819960000000008</v>
      </c>
      <c r="O564" s="2299"/>
      <c r="P564" s="1952"/>
      <c r="Q564" s="2025"/>
      <c r="R564" s="2025"/>
      <c r="S564" s="2025"/>
    </row>
    <row r="565" spans="1:19" s="474" customFormat="1" ht="15" hidden="1">
      <c r="A565" s="2290"/>
      <c r="B565" s="2291"/>
      <c r="C565" s="2291"/>
      <c r="D565" s="2291"/>
      <c r="E565" s="2292"/>
      <c r="F565" s="2292"/>
      <c r="G565" s="2293" t="s">
        <v>109</v>
      </c>
      <c r="H565" s="2292"/>
      <c r="I565" s="2292"/>
      <c r="J565" s="2292" t="s">
        <v>333</v>
      </c>
      <c r="K565" s="2295"/>
      <c r="L565" s="2296"/>
      <c r="M565" s="2297">
        <f>M556+M561+M563</f>
        <v>52718</v>
      </c>
      <c r="N565" s="2298"/>
      <c r="O565" s="2299"/>
      <c r="P565" s="1952"/>
      <c r="Q565" s="2025"/>
      <c r="R565" s="2025"/>
      <c r="S565" s="2025"/>
    </row>
    <row r="566" spans="1:19" s="474" customFormat="1" ht="15" hidden="1">
      <c r="A566" s="2290"/>
      <c r="B566" s="2291"/>
      <c r="C566" s="2291"/>
      <c r="D566" s="2291"/>
      <c r="E566" s="2292"/>
      <c r="F566" s="2292"/>
      <c r="G566" s="2293" t="s">
        <v>378</v>
      </c>
      <c r="H566" s="2292"/>
      <c r="I566" s="2292"/>
      <c r="J566" s="2292" t="str">
        <f ca="1">"T*"&amp;'THCP xay dung'!F164*100&amp;"%"</f>
        <v>T*6,2%</v>
      </c>
      <c r="K566" s="2295"/>
      <c r="L566" s="2296"/>
      <c r="M566" s="2297">
        <f ca="1">M565*'THCP xay dung'!F164*100%</f>
        <v>3268.5160000000001</v>
      </c>
      <c r="N566" s="2298"/>
      <c r="O566" s="2299"/>
      <c r="P566" s="1952"/>
      <c r="Q566" s="2025"/>
      <c r="R566" s="2025"/>
      <c r="S566" s="2025"/>
    </row>
    <row r="567" spans="1:19" s="474" customFormat="1" ht="28.5" hidden="1">
      <c r="A567" s="2290"/>
      <c r="B567" s="2291"/>
      <c r="C567" s="2291"/>
      <c r="D567" s="2291"/>
      <c r="E567" s="2292"/>
      <c r="F567" s="2292"/>
      <c r="G567" s="2293" t="s">
        <v>702</v>
      </c>
      <c r="H567" s="2292"/>
      <c r="I567" s="2292"/>
      <c r="J567" s="2292" t="str">
        <f>IF('THCP xay dung'!G165&lt;&gt;1,"T*"&amp;'THCP xay dung'!F165*100&amp;"%"&amp;"*"&amp;'THCP xay dung'!G165,"T*"&amp;'THCP xay dung'!F165*100&amp;"%")</f>
        <v>T*1,1%</v>
      </c>
      <c r="K567" s="2295"/>
      <c r="L567" s="2296"/>
      <c r="M567" s="2297">
        <f>IF('THCP xay dung'!G165&lt;&gt;1,M565*'THCP xay dung'!F165*100%*'THCP xay dung'!G165,M565*'THCP xay dung'!F165*100%)</f>
        <v>579.89800000000002</v>
      </c>
      <c r="N567" s="2298"/>
      <c r="O567" s="2299"/>
      <c r="P567" s="1952"/>
      <c r="Q567" s="2025"/>
      <c r="R567" s="2025"/>
      <c r="S567" s="2025"/>
    </row>
    <row r="568" spans="1:19" s="474" customFormat="1" ht="42.75" hidden="1">
      <c r="A568" s="2290"/>
      <c r="B568" s="2291"/>
      <c r="C568" s="2291"/>
      <c r="D568" s="2291"/>
      <c r="E568" s="2292"/>
      <c r="F568" s="2292"/>
      <c r="G568" s="2293" t="s">
        <v>703</v>
      </c>
      <c r="H568" s="2292"/>
      <c r="I568" s="2292"/>
      <c r="J568" s="2292" t="str">
        <f ca="1">"T*"&amp;'THCP xay dung'!F166*100&amp;"%"</f>
        <v>T*2%</v>
      </c>
      <c r="K568" s="2295"/>
      <c r="L568" s="2296"/>
      <c r="M568" s="2297">
        <f ca="1">M565*'THCP xay dung'!F166*100%</f>
        <v>1054.3600000000001</v>
      </c>
      <c r="N568" s="2298"/>
      <c r="O568" s="2299"/>
      <c r="P568" s="1952"/>
      <c r="Q568" s="2025"/>
      <c r="R568" s="2025"/>
      <c r="S568" s="2025"/>
    </row>
    <row r="569" spans="1:19" s="474" customFormat="1" ht="15" hidden="1">
      <c r="A569" s="2290"/>
      <c r="B569" s="2291"/>
      <c r="C569" s="2291"/>
      <c r="D569" s="2291"/>
      <c r="E569" s="2292"/>
      <c r="F569" s="2292"/>
      <c r="G569" s="2293" t="s">
        <v>701</v>
      </c>
      <c r="H569" s="2292"/>
      <c r="I569" s="2292"/>
      <c r="J569" s="2292" t="s">
        <v>931</v>
      </c>
      <c r="K569" s="2295"/>
      <c r="L569" s="2296"/>
      <c r="M569" s="2297">
        <f ca="1">M566+M567+M568</f>
        <v>4902.7740000000003</v>
      </c>
      <c r="N569" s="2298"/>
      <c r="O569" s="2299"/>
      <c r="P569" s="1952"/>
      <c r="Q569" s="2025"/>
      <c r="R569" s="2025"/>
      <c r="S569" s="2025"/>
    </row>
    <row r="570" spans="1:19" s="474" customFormat="1" ht="15" hidden="1">
      <c r="A570" s="2290"/>
      <c r="B570" s="2291"/>
      <c r="C570" s="2291"/>
      <c r="D570" s="2291"/>
      <c r="E570" s="2292"/>
      <c r="F570" s="2292"/>
      <c r="G570" s="2293" t="s">
        <v>574</v>
      </c>
      <c r="H570" s="2292"/>
      <c r="I570" s="2292"/>
      <c r="J570" s="2292" t="str">
        <f ca="1">"(T+GT)*"&amp;'THCP xay dung'!F168*100&amp;"%"</f>
        <v>(T+GT)*6%</v>
      </c>
      <c r="K570" s="2295"/>
      <c r="L570" s="2296"/>
      <c r="M570" s="2297">
        <f ca="1">(M565+M569)*'THCP xay dung'!F168*100%</f>
        <v>3457.2464399999999</v>
      </c>
      <c r="N570" s="2298"/>
      <c r="O570" s="2299"/>
      <c r="P570" s="1952"/>
      <c r="Q570" s="2025"/>
      <c r="R570" s="2025"/>
      <c r="S570" s="2025"/>
    </row>
    <row r="571" spans="1:19" s="474" customFormat="1" ht="15" hidden="1">
      <c r="A571" s="2290"/>
      <c r="B571" s="2291"/>
      <c r="C571" s="2291"/>
      <c r="D571" s="2291"/>
      <c r="E571" s="2292"/>
      <c r="F571" s="2292"/>
      <c r="G571" s="2293" t="s">
        <v>113</v>
      </c>
      <c r="H571" s="2292"/>
      <c r="I571" s="2292"/>
      <c r="J571" s="2292" t="s">
        <v>705</v>
      </c>
      <c r="K571" s="2295"/>
      <c r="L571" s="2296"/>
      <c r="M571" s="2297">
        <f ca="1">M565+M569+M570</f>
        <v>61078.02044</v>
      </c>
      <c r="N571" s="2298"/>
      <c r="O571" s="2299"/>
      <c r="P571" s="1952"/>
      <c r="Q571" s="2025"/>
      <c r="R571" s="2025"/>
      <c r="S571" s="2025"/>
    </row>
    <row r="572" spans="1:19" s="474" customFormat="1" ht="15" hidden="1">
      <c r="A572" s="2290"/>
      <c r="B572" s="2291"/>
      <c r="C572" s="2291"/>
      <c r="D572" s="2291"/>
      <c r="E572" s="2292"/>
      <c r="F572" s="2292"/>
      <c r="G572" s="2293" t="s">
        <v>575</v>
      </c>
      <c r="H572" s="2292"/>
      <c r="I572" s="2292"/>
      <c r="J572" s="2292" t="str">
        <f>"G*"&amp;'THCP xay dung'!F170*100&amp;"%"</f>
        <v>G*10%</v>
      </c>
      <c r="K572" s="2295"/>
      <c r="L572" s="2296"/>
      <c r="M572" s="2297">
        <f ca="1">M571*'THCP xay dung'!F170*100%</f>
        <v>6107.802044</v>
      </c>
      <c r="N572" s="2298"/>
      <c r="O572" s="2299"/>
      <c r="P572" s="1952"/>
      <c r="Q572" s="2025"/>
      <c r="R572" s="2025"/>
      <c r="S572" s="2025"/>
    </row>
    <row r="573" spans="1:19" s="474" customFormat="1" ht="15" hidden="1">
      <c r="A573" s="2290"/>
      <c r="B573" s="2291"/>
      <c r="C573" s="2291"/>
      <c r="D573" s="2291"/>
      <c r="E573" s="2292"/>
      <c r="F573" s="2292"/>
      <c r="G573" s="2293" t="s">
        <v>117</v>
      </c>
      <c r="H573" s="2292"/>
      <c r="I573" s="2292"/>
      <c r="J573" s="2292" t="s">
        <v>596</v>
      </c>
      <c r="K573" s="2295"/>
      <c r="L573" s="2296"/>
      <c r="M573" s="2297">
        <f ca="1">M571+M572</f>
        <v>67185.822484000004</v>
      </c>
      <c r="N573" s="2298"/>
      <c r="O573" s="2299"/>
      <c r="P573" s="1952"/>
      <c r="Q573" s="2025"/>
      <c r="R573" s="2025"/>
      <c r="S573" s="2025"/>
    </row>
    <row r="574" spans="1:19" s="474" customFormat="1" ht="15" hidden="1">
      <c r="A574" s="2290"/>
      <c r="B574" s="2291"/>
      <c r="C574" s="2291"/>
      <c r="D574" s="2291"/>
      <c r="E574" s="2292"/>
      <c r="F574" s="2292"/>
      <c r="G574" s="2293" t="s">
        <v>168</v>
      </c>
      <c r="H574" s="2292"/>
      <c r="I574" s="2292"/>
      <c r="J574" s="2292" t="str">
        <f ca="1">"GXD*"&amp;'THCP xay dung'!F172*100&amp;"%"</f>
        <v>GXD*6%</v>
      </c>
      <c r="K574" s="2295"/>
      <c r="L574" s="2296"/>
      <c r="M574" s="2297">
        <f ca="1">M573*'THCP xay dung'!F172*100%</f>
        <v>4031.1493490400003</v>
      </c>
      <c r="N574" s="2298"/>
      <c r="O574" s="2299"/>
      <c r="P574" s="1952"/>
      <c r="Q574" s="2025"/>
      <c r="R574" s="2025"/>
      <c r="S574" s="2025"/>
    </row>
    <row r="575" spans="1:19" s="474" customFormat="1" ht="15" hidden="1">
      <c r="A575" s="2315" t="s">
        <v>304</v>
      </c>
      <c r="B575" s="2316"/>
      <c r="C575" s="2316"/>
      <c r="D575" s="2316"/>
      <c r="E575" s="2317"/>
      <c r="F575" s="2317"/>
      <c r="G575" s="2303" t="s">
        <v>1837</v>
      </c>
      <c r="H575" s="2302"/>
      <c r="I575" s="2302"/>
      <c r="J575" s="2302" t="s">
        <v>1636</v>
      </c>
      <c r="K575" s="2304"/>
      <c r="L575" s="2305"/>
      <c r="M575" s="2306">
        <f ca="1">M573+M574</f>
        <v>71216.971833040006</v>
      </c>
      <c r="N575" s="2307"/>
      <c r="O575" s="2308"/>
      <c r="P575" s="1952"/>
      <c r="Q575" s="2025"/>
      <c r="R575" s="2025"/>
      <c r="S575" s="2025"/>
    </row>
    <row r="576" spans="1:19" s="474" customFormat="1" ht="45">
      <c r="A576" s="2282">
        <v>89</v>
      </c>
      <c r="B576" s="2283">
        <f>'Du toan XD'!B237</f>
        <v>3</v>
      </c>
      <c r="C576" s="2283" t="s">
        <v>1971</v>
      </c>
      <c r="D576" s="2283" t="s">
        <v>1972</v>
      </c>
      <c r="E576" s="2284" t="s">
        <v>1564</v>
      </c>
      <c r="F576" s="2284"/>
      <c r="G576" s="2309" t="str">
        <f>'Du toan XD'!F237</f>
        <v>Trát trụ cột, lam đứng, cầu thang, chiều dày trát 1,5cm, vữa XM PCB40 mác 75</v>
      </c>
      <c r="H576" s="2284" t="str">
        <f>'Du toan XD'!G237</f>
        <v>m²</v>
      </c>
      <c r="I576" s="2284">
        <f>'Du toan XD'!H237</f>
        <v>17.16</v>
      </c>
      <c r="J576" s="2285"/>
      <c r="K576" s="2286"/>
      <c r="L576" s="2287"/>
      <c r="M576" s="2286"/>
      <c r="N576" s="2288"/>
      <c r="O576" s="2289"/>
      <c r="P576" s="1952">
        <f>M577</f>
        <v>9337</v>
      </c>
      <c r="Q576" s="2025"/>
      <c r="R576" s="2025">
        <f>M582</f>
        <v>128982</v>
      </c>
      <c r="S576" s="2025">
        <f>M584</f>
        <v>145</v>
      </c>
    </row>
    <row r="577" spans="1:19" s="474" customFormat="1" ht="15">
      <c r="A577" s="2290"/>
      <c r="B577" s="2291"/>
      <c r="C577" s="2291"/>
      <c r="D577" s="2291"/>
      <c r="E577" s="2292"/>
      <c r="F577" s="2292"/>
      <c r="G577" s="2311" t="s">
        <v>224</v>
      </c>
      <c r="H577" s="2311"/>
      <c r="I577" s="2311"/>
      <c r="J577" s="2314"/>
      <c r="K577" s="2312"/>
      <c r="L577" s="2313"/>
      <c r="M577" s="2312">
        <f>ROUND(SUM(M578:M581),Config!C103)</f>
        <v>9337</v>
      </c>
      <c r="N577" s="2298"/>
      <c r="O577" s="2299"/>
      <c r="P577" s="1952"/>
      <c r="Q577" s="2025"/>
      <c r="R577" s="2025"/>
      <c r="S577" s="2025"/>
    </row>
    <row r="578" spans="1:19" s="474" customFormat="1" ht="15">
      <c r="A578" s="2290"/>
      <c r="B578" s="2291"/>
      <c r="C578" s="2291" t="s">
        <v>1971</v>
      </c>
      <c r="D578" s="2291"/>
      <c r="E578" s="2292"/>
      <c r="F578" s="2292" t="s">
        <v>1901</v>
      </c>
      <c r="G578" s="2310" t="s">
        <v>1902</v>
      </c>
      <c r="H578" s="2292" t="s">
        <v>1856</v>
      </c>
      <c r="I578" s="2292"/>
      <c r="J578" s="2294">
        <f>301*0.018</f>
        <v>5.4179999999999993</v>
      </c>
      <c r="K578" s="2364">
        <f>'TH vat tu XD'!G139</f>
        <v>1380</v>
      </c>
      <c r="L578" s="2296"/>
      <c r="M578" s="2295">
        <f>IF(L578=0,J578*K578,J578*K578*L578)</f>
        <v>7476.8399999999992</v>
      </c>
      <c r="N578" s="2298">
        <f>IF(L578=0,I576*J578,I576*J578*L578)</f>
        <v>92.972879999999989</v>
      </c>
      <c r="O578" s="2299">
        <f>J581%*N578</f>
        <v>0.46486439999999996</v>
      </c>
      <c r="P578" s="1952"/>
      <c r="Q578" s="2025"/>
      <c r="R578" s="2025"/>
      <c r="S578" s="2025"/>
    </row>
    <row r="579" spans="1:19" s="474" customFormat="1" ht="15">
      <c r="A579" s="2290"/>
      <c r="B579" s="2291"/>
      <c r="C579" s="2291" t="s">
        <v>1971</v>
      </c>
      <c r="D579" s="2291"/>
      <c r="E579" s="2292"/>
      <c r="F579" s="2292" t="s">
        <v>1967</v>
      </c>
      <c r="G579" s="2310" t="s">
        <v>1968</v>
      </c>
      <c r="H579" s="2292" t="s">
        <v>1848</v>
      </c>
      <c r="I579" s="2292"/>
      <c r="J579" s="2294">
        <f>1.159*0.018</f>
        <v>2.0861999999999999E-2</v>
      </c>
      <c r="K579" s="2364">
        <f>'TH vat tu XD'!G129</f>
        <v>85000</v>
      </c>
      <c r="L579" s="2296"/>
      <c r="M579" s="2295">
        <f>IF(L579=0,J579*K579,J579*K579*L579)</f>
        <v>1773.27</v>
      </c>
      <c r="N579" s="2298">
        <f>IF(L579=0,I576*J579,I576*J579*L579)</f>
        <v>0.35799191999999996</v>
      </c>
      <c r="O579" s="2299">
        <f>J581%*N579</f>
        <v>1.7899595999999998E-3</v>
      </c>
      <c r="P579" s="1952"/>
      <c r="Q579" s="2025"/>
      <c r="R579" s="2025"/>
      <c r="S579" s="2025"/>
    </row>
    <row r="580" spans="1:19" s="474" customFormat="1" ht="15">
      <c r="A580" s="2290"/>
      <c r="B580" s="2291"/>
      <c r="C580" s="2291" t="s">
        <v>1971</v>
      </c>
      <c r="D580" s="2291"/>
      <c r="E580" s="2292"/>
      <c r="F580" s="2292" t="s">
        <v>1859</v>
      </c>
      <c r="G580" s="2310" t="s">
        <v>1860</v>
      </c>
      <c r="H580" s="2292" t="s">
        <v>1861</v>
      </c>
      <c r="I580" s="2292"/>
      <c r="J580" s="2294">
        <f>278*0.018</f>
        <v>5.0039999999999996</v>
      </c>
      <c r="K580" s="2364">
        <f>'TH vat tu XD'!G133</f>
        <v>8</v>
      </c>
      <c r="L580" s="2296"/>
      <c r="M580" s="2295">
        <f>IF(L580=0,J580*K580,J580*K580*L580)</f>
        <v>40.031999999999996</v>
      </c>
      <c r="N580" s="2298">
        <f>IF(L580=0,I576*J580,I576*J580*L580)</f>
        <v>85.868639999999999</v>
      </c>
      <c r="O580" s="2299">
        <f>J581%*N580</f>
        <v>0.42934319999999998</v>
      </c>
      <c r="P580" s="1952"/>
      <c r="Q580" s="2025"/>
      <c r="R580" s="2025"/>
      <c r="S580" s="2025"/>
    </row>
    <row r="581" spans="1:19" s="474" customFormat="1" ht="15">
      <c r="A581" s="2290"/>
      <c r="B581" s="2291"/>
      <c r="C581" s="2291"/>
      <c r="D581" s="2291"/>
      <c r="E581" s="2292"/>
      <c r="F581" s="2292" t="s">
        <v>1882</v>
      </c>
      <c r="G581" s="2310" t="s">
        <v>226</v>
      </c>
      <c r="H581" s="2292" t="s">
        <v>1850</v>
      </c>
      <c r="I581" s="2292"/>
      <c r="J581" s="2294">
        <v>0.5</v>
      </c>
      <c r="K581" s="2295"/>
      <c r="L581" s="2296"/>
      <c r="M581" s="2295">
        <f>SUM(M578:M580)*J581%</f>
        <v>46.450709999999994</v>
      </c>
      <c r="N581" s="2298"/>
      <c r="O581" s="2299"/>
      <c r="P581" s="1952"/>
      <c r="Q581" s="2025"/>
      <c r="R581" s="2025"/>
      <c r="S581" s="2025"/>
    </row>
    <row r="582" spans="1:19" s="474" customFormat="1" ht="15">
      <c r="A582" s="2290"/>
      <c r="B582" s="2291"/>
      <c r="C582" s="2291"/>
      <c r="D582" s="2291"/>
      <c r="E582" s="2292"/>
      <c r="F582" s="2292"/>
      <c r="G582" s="2311" t="s">
        <v>225</v>
      </c>
      <c r="H582" s="2311"/>
      <c r="I582" s="2311"/>
      <c r="J582" s="2314"/>
      <c r="K582" s="2312"/>
      <c r="L582" s="2313"/>
      <c r="M582" s="2312">
        <f>ROUND(SUM(M583:M583),Config!C103)</f>
        <v>128982</v>
      </c>
      <c r="N582" s="2298"/>
      <c r="O582" s="2299"/>
      <c r="P582" s="1952"/>
      <c r="Q582" s="2025"/>
      <c r="R582" s="2025"/>
      <c r="S582" s="2025"/>
    </row>
    <row r="583" spans="1:19" s="474" customFormat="1" ht="15">
      <c r="A583" s="2290"/>
      <c r="B583" s="2291"/>
      <c r="C583" s="2291"/>
      <c r="D583" s="2291"/>
      <c r="E583" s="2292"/>
      <c r="F583" s="2292" t="s">
        <v>1951</v>
      </c>
      <c r="G583" s="2310" t="s">
        <v>1952</v>
      </c>
      <c r="H583" s="2292" t="s">
        <v>1833</v>
      </c>
      <c r="I583" s="2292"/>
      <c r="J583" s="2294">
        <v>0.52</v>
      </c>
      <c r="K583" s="2364">
        <f>'TH vat tu XD'!G144</f>
        <v>248042.76315789475</v>
      </c>
      <c r="L583" s="2296"/>
      <c r="M583" s="2295">
        <f>IF(L583=0,J583*K583,J583*K583*L583)</f>
        <v>128982.23684210527</v>
      </c>
      <c r="N583" s="2298">
        <f>IF(L583=0,I576*J583,I576*J583*L583)</f>
        <v>8.9231999999999996</v>
      </c>
      <c r="O583" s="2299"/>
      <c r="P583" s="1952"/>
      <c r="Q583" s="2025"/>
      <c r="R583" s="2025"/>
      <c r="S583" s="2025"/>
    </row>
    <row r="584" spans="1:19" s="474" customFormat="1" ht="15">
      <c r="A584" s="2290"/>
      <c r="B584" s="2291"/>
      <c r="C584" s="2291"/>
      <c r="D584" s="2291"/>
      <c r="E584" s="2292"/>
      <c r="F584" s="2292"/>
      <c r="G584" s="2311" t="s">
        <v>228</v>
      </c>
      <c r="H584" s="2311"/>
      <c r="I584" s="2311"/>
      <c r="J584" s="2314"/>
      <c r="K584" s="2312"/>
      <c r="L584" s="2313"/>
      <c r="M584" s="2312">
        <f>ROUND(SUM(M585:M585),Config!C103)</f>
        <v>145</v>
      </c>
      <c r="N584" s="2298"/>
      <c r="O584" s="2299"/>
      <c r="P584" s="1952"/>
      <c r="Q584" s="2025"/>
      <c r="R584" s="2025"/>
      <c r="S584" s="2025"/>
    </row>
    <row r="585" spans="1:19" s="474" customFormat="1" ht="15">
      <c r="A585" s="2290"/>
      <c r="B585" s="2291"/>
      <c r="C585" s="2291"/>
      <c r="D585" s="2291"/>
      <c r="E585" s="2292"/>
      <c r="F585" s="2292" t="s">
        <v>1868</v>
      </c>
      <c r="G585" s="2310" t="s">
        <v>1869</v>
      </c>
      <c r="H585" s="2292" t="s">
        <v>1836</v>
      </c>
      <c r="I585" s="2292"/>
      <c r="J585" s="2294">
        <v>3.0000000000000001E-3</v>
      </c>
      <c r="K585" s="2364">
        <f>'TH vat tu XD'!G147</f>
        <v>48226</v>
      </c>
      <c r="L585" s="2296"/>
      <c r="M585" s="2295">
        <f>IF(L585=0,J585*K585,J585*K585*L585)</f>
        <v>144.678</v>
      </c>
      <c r="N585" s="2298">
        <f>IF(L585=0,I576*J585,I576*J585*L585)</f>
        <v>5.1480000000000005E-2</v>
      </c>
      <c r="O585" s="2299"/>
      <c r="P585" s="1952"/>
      <c r="Q585" s="2025"/>
      <c r="R585" s="2025"/>
      <c r="S585" s="2025"/>
    </row>
    <row r="586" spans="1:19" s="474" customFormat="1" ht="15" hidden="1">
      <c r="A586" s="2290"/>
      <c r="B586" s="2291"/>
      <c r="C586" s="2291"/>
      <c r="D586" s="2291"/>
      <c r="E586" s="2292"/>
      <c r="F586" s="2292"/>
      <c r="G586" s="2293" t="s">
        <v>109</v>
      </c>
      <c r="H586" s="2292"/>
      <c r="I586" s="2292"/>
      <c r="J586" s="2292" t="s">
        <v>333</v>
      </c>
      <c r="K586" s="2295"/>
      <c r="L586" s="2296"/>
      <c r="M586" s="2297">
        <f>M577+M582+M584</f>
        <v>138464</v>
      </c>
      <c r="N586" s="2298"/>
      <c r="O586" s="2299"/>
      <c r="P586" s="1952"/>
      <c r="Q586" s="2025"/>
      <c r="R586" s="2025"/>
      <c r="S586" s="2025"/>
    </row>
    <row r="587" spans="1:19" s="474" customFormat="1" ht="15" hidden="1">
      <c r="A587" s="2290"/>
      <c r="B587" s="2291"/>
      <c r="C587" s="2291"/>
      <c r="D587" s="2291"/>
      <c r="E587" s="2292"/>
      <c r="F587" s="2292"/>
      <c r="G587" s="2293" t="s">
        <v>378</v>
      </c>
      <c r="H587" s="2292"/>
      <c r="I587" s="2292"/>
      <c r="J587" s="2292" t="str">
        <f ca="1">"T*"&amp;'THCP xay dung'!F164*100&amp;"%"</f>
        <v>T*6,2%</v>
      </c>
      <c r="K587" s="2295"/>
      <c r="L587" s="2296"/>
      <c r="M587" s="2297">
        <f ca="1">M586*'THCP xay dung'!F164*100%</f>
        <v>8584.768</v>
      </c>
      <c r="N587" s="2298"/>
      <c r="O587" s="2299"/>
      <c r="P587" s="1952"/>
      <c r="Q587" s="2025"/>
      <c r="R587" s="2025"/>
      <c r="S587" s="2025"/>
    </row>
    <row r="588" spans="1:19" s="474" customFormat="1" ht="28.5" hidden="1">
      <c r="A588" s="2290"/>
      <c r="B588" s="2291"/>
      <c r="C588" s="2291"/>
      <c r="D588" s="2291"/>
      <c r="E588" s="2292"/>
      <c r="F588" s="2292"/>
      <c r="G588" s="2293" t="s">
        <v>702</v>
      </c>
      <c r="H588" s="2292"/>
      <c r="I588" s="2292"/>
      <c r="J588" s="2292" t="str">
        <f>IF('THCP xay dung'!G165&lt;&gt;1,"T*"&amp;'THCP xay dung'!F165*100&amp;"%"&amp;"*"&amp;'THCP xay dung'!G165,"T*"&amp;'THCP xay dung'!F165*100&amp;"%")</f>
        <v>T*1,1%</v>
      </c>
      <c r="K588" s="2295"/>
      <c r="L588" s="2296"/>
      <c r="M588" s="2297">
        <f>IF('THCP xay dung'!G165&lt;&gt;1,M586*'THCP xay dung'!F165*100%*'THCP xay dung'!G165,M586*'THCP xay dung'!F165*100%)</f>
        <v>1523.104</v>
      </c>
      <c r="N588" s="2298"/>
      <c r="O588" s="2299"/>
      <c r="P588" s="1952"/>
      <c r="Q588" s="2025"/>
      <c r="R588" s="2025"/>
      <c r="S588" s="2025"/>
    </row>
    <row r="589" spans="1:19" s="474" customFormat="1" ht="42.75" hidden="1">
      <c r="A589" s="2290"/>
      <c r="B589" s="2291"/>
      <c r="C589" s="2291"/>
      <c r="D589" s="2291"/>
      <c r="E589" s="2292"/>
      <c r="F589" s="2292"/>
      <c r="G589" s="2293" t="s">
        <v>703</v>
      </c>
      <c r="H589" s="2292"/>
      <c r="I589" s="2292"/>
      <c r="J589" s="2292" t="str">
        <f ca="1">"T*"&amp;'THCP xay dung'!F166*100&amp;"%"</f>
        <v>T*2%</v>
      </c>
      <c r="K589" s="2295"/>
      <c r="L589" s="2296"/>
      <c r="M589" s="2297">
        <f ca="1">M586*'THCP xay dung'!F166*100%</f>
        <v>2769.28</v>
      </c>
      <c r="N589" s="2298"/>
      <c r="O589" s="2299"/>
      <c r="P589" s="1952"/>
      <c r="Q589" s="2025"/>
      <c r="R589" s="2025"/>
      <c r="S589" s="2025"/>
    </row>
    <row r="590" spans="1:19" s="474" customFormat="1" ht="15" hidden="1">
      <c r="A590" s="2290"/>
      <c r="B590" s="2291"/>
      <c r="C590" s="2291"/>
      <c r="D590" s="2291"/>
      <c r="E590" s="2292"/>
      <c r="F590" s="2292"/>
      <c r="G590" s="2293" t="s">
        <v>701</v>
      </c>
      <c r="H590" s="2292"/>
      <c r="I590" s="2292"/>
      <c r="J590" s="2292" t="s">
        <v>931</v>
      </c>
      <c r="K590" s="2295"/>
      <c r="L590" s="2296"/>
      <c r="M590" s="2297">
        <f ca="1">M587+M588+M589</f>
        <v>12877.152</v>
      </c>
      <c r="N590" s="2298"/>
      <c r="O590" s="2299"/>
      <c r="P590" s="1952"/>
      <c r="Q590" s="2025"/>
      <c r="R590" s="2025"/>
      <c r="S590" s="2025"/>
    </row>
    <row r="591" spans="1:19" s="474" customFormat="1" ht="15" hidden="1">
      <c r="A591" s="2290"/>
      <c r="B591" s="2291"/>
      <c r="C591" s="2291"/>
      <c r="D591" s="2291"/>
      <c r="E591" s="2292"/>
      <c r="F591" s="2292"/>
      <c r="G591" s="2293" t="s">
        <v>574</v>
      </c>
      <c r="H591" s="2292"/>
      <c r="I591" s="2292"/>
      <c r="J591" s="2292" t="str">
        <f ca="1">"(T+GT)*"&amp;'THCP xay dung'!F168*100&amp;"%"</f>
        <v>(T+GT)*6%</v>
      </c>
      <c r="K591" s="2295"/>
      <c r="L591" s="2296"/>
      <c r="M591" s="2297">
        <f ca="1">(M586+M590)*'THCP xay dung'!F168*100%</f>
        <v>9080.4691199999997</v>
      </c>
      <c r="N591" s="2298"/>
      <c r="O591" s="2299"/>
      <c r="P591" s="1952"/>
      <c r="Q591" s="2025"/>
      <c r="R591" s="2025"/>
      <c r="S591" s="2025"/>
    </row>
    <row r="592" spans="1:19" s="474" customFormat="1" ht="15" hidden="1">
      <c r="A592" s="2290"/>
      <c r="B592" s="2291"/>
      <c r="C592" s="2291"/>
      <c r="D592" s="2291"/>
      <c r="E592" s="2292"/>
      <c r="F592" s="2292"/>
      <c r="G592" s="2293" t="s">
        <v>113</v>
      </c>
      <c r="H592" s="2292"/>
      <c r="I592" s="2292"/>
      <c r="J592" s="2292" t="s">
        <v>705</v>
      </c>
      <c r="K592" s="2295"/>
      <c r="L592" s="2296"/>
      <c r="M592" s="2297">
        <f ca="1">M586+M590+M591</f>
        <v>160421.62112</v>
      </c>
      <c r="N592" s="2298"/>
      <c r="O592" s="2299"/>
      <c r="P592" s="1952"/>
      <c r="Q592" s="2025"/>
      <c r="R592" s="2025"/>
      <c r="S592" s="2025"/>
    </row>
    <row r="593" spans="1:19" s="474" customFormat="1" ht="15" hidden="1">
      <c r="A593" s="2290"/>
      <c r="B593" s="2291"/>
      <c r="C593" s="2291"/>
      <c r="D593" s="2291"/>
      <c r="E593" s="2292"/>
      <c r="F593" s="2292"/>
      <c r="G593" s="2293" t="s">
        <v>575</v>
      </c>
      <c r="H593" s="2292"/>
      <c r="I593" s="2292"/>
      <c r="J593" s="2292" t="str">
        <f>"G*"&amp;'THCP xay dung'!F170*100&amp;"%"</f>
        <v>G*10%</v>
      </c>
      <c r="K593" s="2295"/>
      <c r="L593" s="2296"/>
      <c r="M593" s="2297">
        <f ca="1">M592*'THCP xay dung'!F170*100%</f>
        <v>16042.162112</v>
      </c>
      <c r="N593" s="2298"/>
      <c r="O593" s="2299"/>
      <c r="P593" s="1952"/>
      <c r="Q593" s="2025"/>
      <c r="R593" s="2025"/>
      <c r="S593" s="2025"/>
    </row>
    <row r="594" spans="1:19" s="474" customFormat="1" ht="15" hidden="1">
      <c r="A594" s="2290"/>
      <c r="B594" s="2291"/>
      <c r="C594" s="2291"/>
      <c r="D594" s="2291"/>
      <c r="E594" s="2292"/>
      <c r="F594" s="2292"/>
      <c r="G594" s="2293" t="s">
        <v>117</v>
      </c>
      <c r="H594" s="2292"/>
      <c r="I594" s="2292"/>
      <c r="J594" s="2292" t="s">
        <v>596</v>
      </c>
      <c r="K594" s="2295"/>
      <c r="L594" s="2296"/>
      <c r="M594" s="2297">
        <f ca="1">M592+M593</f>
        <v>176463.78323199999</v>
      </c>
      <c r="N594" s="2298"/>
      <c r="O594" s="2299"/>
      <c r="P594" s="1952"/>
      <c r="Q594" s="2025"/>
      <c r="R594" s="2025"/>
      <c r="S594" s="2025"/>
    </row>
    <row r="595" spans="1:19" s="474" customFormat="1" ht="15" hidden="1">
      <c r="A595" s="2290"/>
      <c r="B595" s="2291"/>
      <c r="C595" s="2291"/>
      <c r="D595" s="2291"/>
      <c r="E595" s="2292"/>
      <c r="F595" s="2292"/>
      <c r="G595" s="2293" t="s">
        <v>168</v>
      </c>
      <c r="H595" s="2292"/>
      <c r="I595" s="2292"/>
      <c r="J595" s="2292" t="str">
        <f ca="1">"GXD*"&amp;'THCP xay dung'!F172*100&amp;"%"</f>
        <v>GXD*6%</v>
      </c>
      <c r="K595" s="2295"/>
      <c r="L595" s="2296"/>
      <c r="M595" s="2297">
        <f ca="1">M594*'THCP xay dung'!F172*100%</f>
        <v>10587.826993919998</v>
      </c>
      <c r="N595" s="2298"/>
      <c r="O595" s="2299"/>
      <c r="P595" s="1952"/>
      <c r="Q595" s="2025"/>
      <c r="R595" s="2025"/>
      <c r="S595" s="2025"/>
    </row>
    <row r="596" spans="1:19" s="474" customFormat="1" ht="15" hidden="1">
      <c r="A596" s="2300" t="s">
        <v>304</v>
      </c>
      <c r="B596" s="2301"/>
      <c r="C596" s="2301"/>
      <c r="D596" s="2301"/>
      <c r="E596" s="2302"/>
      <c r="F596" s="2302"/>
      <c r="G596" s="2303" t="s">
        <v>1837</v>
      </c>
      <c r="H596" s="2302"/>
      <c r="I596" s="2302"/>
      <c r="J596" s="2302" t="s">
        <v>1636</v>
      </c>
      <c r="K596" s="2304"/>
      <c r="L596" s="2305"/>
      <c r="M596" s="2306">
        <f ca="1">M594+M595</f>
        <v>187051.61022591998</v>
      </c>
      <c r="N596" s="2307"/>
      <c r="O596" s="2308"/>
      <c r="P596" s="1952"/>
      <c r="Q596" s="2025"/>
      <c r="R596" s="2025"/>
      <c r="S596" s="2025"/>
    </row>
    <row r="597" spans="1:19" s="474" customFormat="1" ht="30">
      <c r="A597" s="2248">
        <v>90</v>
      </c>
      <c r="B597" s="2266">
        <f>'Du toan XD'!B239</f>
        <v>4</v>
      </c>
      <c r="C597" s="2266" t="s">
        <v>1964</v>
      </c>
      <c r="D597" s="2266" t="s">
        <v>1974</v>
      </c>
      <c r="E597" s="2248" t="s">
        <v>1565</v>
      </c>
      <c r="F597" s="2248"/>
      <c r="G597" s="2267" t="str">
        <f>'Du toan XD'!F239</f>
        <v>Trát xà dầm, vữa XM PCB40 mác 50</v>
      </c>
      <c r="H597" s="2248" t="str">
        <f>'Du toan XD'!G239</f>
        <v>m²</v>
      </c>
      <c r="I597" s="2248">
        <f>'Du toan XD'!H239</f>
        <v>2.8489999999999998</v>
      </c>
      <c r="J597" s="2249"/>
      <c r="K597" s="2250"/>
      <c r="L597" s="2251"/>
      <c r="M597" s="2250"/>
      <c r="N597" s="2131"/>
      <c r="O597" s="2131"/>
      <c r="P597" s="1952">
        <f>M598</f>
        <v>7330</v>
      </c>
      <c r="Q597" s="2025"/>
      <c r="R597" s="2025">
        <f>M603</f>
        <v>86815</v>
      </c>
      <c r="S597" s="2025">
        <f>M605</f>
        <v>145</v>
      </c>
    </row>
    <row r="598" spans="1:19" s="474" customFormat="1" ht="15">
      <c r="A598" s="2253"/>
      <c r="B598" s="2268"/>
      <c r="C598" s="2268"/>
      <c r="D598" s="2268"/>
      <c r="E598" s="2253"/>
      <c r="F598" s="2253"/>
      <c r="G598" s="2271" t="s">
        <v>224</v>
      </c>
      <c r="H598" s="2271"/>
      <c r="I598" s="2271"/>
      <c r="J598" s="2274"/>
      <c r="K598" s="2272"/>
      <c r="L598" s="2273"/>
      <c r="M598" s="2272">
        <f>ROUND(SUM(M599:M602),Config!C103)</f>
        <v>7330</v>
      </c>
      <c r="N598" s="2258"/>
      <c r="O598" s="2258"/>
      <c r="P598" s="1952"/>
      <c r="Q598" s="2025"/>
      <c r="R598" s="2025"/>
      <c r="S598" s="2025"/>
    </row>
    <row r="599" spans="1:19" s="474" customFormat="1" ht="15">
      <c r="A599" s="2253"/>
      <c r="B599" s="2268"/>
      <c r="C599" s="2268" t="s">
        <v>1964</v>
      </c>
      <c r="D599" s="2268"/>
      <c r="E599" s="2253"/>
      <c r="F599" s="2253" t="s">
        <v>1901</v>
      </c>
      <c r="G599" s="2269" t="s">
        <v>1902</v>
      </c>
      <c r="H599" s="2253" t="s">
        <v>1856</v>
      </c>
      <c r="I599" s="2253"/>
      <c r="J599" s="2254">
        <f>218*0.018</f>
        <v>3.9239999999999995</v>
      </c>
      <c r="K599" s="2363">
        <f>'TH vat tu XD'!G139</f>
        <v>1380</v>
      </c>
      <c r="L599" s="2256"/>
      <c r="M599" s="2255">
        <f>IF(L599=0,J599*K599,J599*K599*L599)</f>
        <v>5415.119999999999</v>
      </c>
      <c r="N599" s="2258">
        <f>IF(L599=0,I597*J599,I597*J599*L599)</f>
        <v>11.179475999999998</v>
      </c>
      <c r="O599" s="2258">
        <f>J602%*N599</f>
        <v>5.589737999999999E-2</v>
      </c>
      <c r="P599" s="1952"/>
      <c r="Q599" s="2025"/>
      <c r="R599" s="2025"/>
      <c r="S599" s="2025"/>
    </row>
    <row r="600" spans="1:19" s="474" customFormat="1" ht="15">
      <c r="A600" s="2253"/>
      <c r="B600" s="2268"/>
      <c r="C600" s="2268" t="s">
        <v>1964</v>
      </c>
      <c r="D600" s="2268"/>
      <c r="E600" s="2253"/>
      <c r="F600" s="2253" t="s">
        <v>1967</v>
      </c>
      <c r="G600" s="2269" t="s">
        <v>1968</v>
      </c>
      <c r="H600" s="2253" t="s">
        <v>1848</v>
      </c>
      <c r="I600" s="2253"/>
      <c r="J600" s="2254">
        <f>1.201*0.018</f>
        <v>2.1617999999999998E-2</v>
      </c>
      <c r="K600" s="2363">
        <f>'TH vat tu XD'!G129</f>
        <v>85000</v>
      </c>
      <c r="L600" s="2256"/>
      <c r="M600" s="2255">
        <f>IF(L600=0,J600*K600,J600*K600*L600)</f>
        <v>1837.5299999999997</v>
      </c>
      <c r="N600" s="2258">
        <f>IF(L600=0,I597*J600,I597*J600*L600)</f>
        <v>6.1589681999999993E-2</v>
      </c>
      <c r="O600" s="2258">
        <f>J602%*N600</f>
        <v>3.0794840999999999E-4</v>
      </c>
      <c r="P600" s="1952"/>
      <c r="Q600" s="2025"/>
      <c r="R600" s="2025"/>
      <c r="S600" s="2025"/>
    </row>
    <row r="601" spans="1:19" s="474" customFormat="1" ht="15">
      <c r="A601" s="2253"/>
      <c r="B601" s="2268"/>
      <c r="C601" s="2268" t="s">
        <v>1964</v>
      </c>
      <c r="D601" s="2268"/>
      <c r="E601" s="2253"/>
      <c r="F601" s="2253" t="s">
        <v>1859</v>
      </c>
      <c r="G601" s="2269" t="s">
        <v>1860</v>
      </c>
      <c r="H601" s="2253" t="s">
        <v>1861</v>
      </c>
      <c r="I601" s="2253"/>
      <c r="J601" s="2254">
        <f>281*0.018</f>
        <v>5.0579999999999998</v>
      </c>
      <c r="K601" s="2363">
        <f>'TH vat tu XD'!G133</f>
        <v>8</v>
      </c>
      <c r="L601" s="2256"/>
      <c r="M601" s="2255">
        <f>IF(L601=0,J601*K601,J601*K601*L601)</f>
        <v>40.463999999999999</v>
      </c>
      <c r="N601" s="2258">
        <f>IF(L601=0,I597*J601,I597*J601*L601)</f>
        <v>14.410241999999998</v>
      </c>
      <c r="O601" s="2258">
        <f>J602%*N601</f>
        <v>7.2051209999999991E-2</v>
      </c>
      <c r="P601" s="1952"/>
      <c r="Q601" s="2025"/>
      <c r="R601" s="2025"/>
      <c r="S601" s="2025"/>
    </row>
    <row r="602" spans="1:19" s="474" customFormat="1" ht="15">
      <c r="A602" s="2253"/>
      <c r="B602" s="2268"/>
      <c r="C602" s="2268"/>
      <c r="D602" s="2268"/>
      <c r="E602" s="2253"/>
      <c r="F602" s="2253" t="s">
        <v>1882</v>
      </c>
      <c r="G602" s="2269" t="s">
        <v>226</v>
      </c>
      <c r="H602" s="2253" t="s">
        <v>1850</v>
      </c>
      <c r="I602" s="2253"/>
      <c r="J602" s="2254">
        <v>0.5</v>
      </c>
      <c r="K602" s="2255"/>
      <c r="L602" s="2256"/>
      <c r="M602" s="2255">
        <f>SUM(M599:M601)*J602%</f>
        <v>36.465569999999992</v>
      </c>
      <c r="N602" s="2258"/>
      <c r="O602" s="2258"/>
      <c r="P602" s="1952"/>
      <c r="Q602" s="2025"/>
      <c r="R602" s="2025"/>
      <c r="S602" s="2025"/>
    </row>
    <row r="603" spans="1:19" s="474" customFormat="1" ht="15">
      <c r="A603" s="2253"/>
      <c r="B603" s="2268"/>
      <c r="C603" s="2268"/>
      <c r="D603" s="2268"/>
      <c r="E603" s="2253"/>
      <c r="F603" s="2253"/>
      <c r="G603" s="2271" t="s">
        <v>225</v>
      </c>
      <c r="H603" s="2271"/>
      <c r="I603" s="2271"/>
      <c r="J603" s="2274"/>
      <c r="K603" s="2272"/>
      <c r="L603" s="2273"/>
      <c r="M603" s="2272">
        <f>ROUND(SUM(M604:M604),Config!C103)</f>
        <v>86815</v>
      </c>
      <c r="N603" s="2258"/>
      <c r="O603" s="2258"/>
      <c r="P603" s="1952"/>
      <c r="Q603" s="2025"/>
      <c r="R603" s="2025"/>
      <c r="S603" s="2025"/>
    </row>
    <row r="604" spans="1:19" s="474" customFormat="1" ht="15">
      <c r="A604" s="2253"/>
      <c r="B604" s="2268"/>
      <c r="C604" s="2268"/>
      <c r="D604" s="2268"/>
      <c r="E604" s="2253"/>
      <c r="F604" s="2253" t="s">
        <v>1951</v>
      </c>
      <c r="G604" s="2269" t="s">
        <v>1952</v>
      </c>
      <c r="H604" s="2253" t="s">
        <v>1833</v>
      </c>
      <c r="I604" s="2253"/>
      <c r="J604" s="2254">
        <v>0.35</v>
      </c>
      <c r="K604" s="2363">
        <f>'TH vat tu XD'!G144</f>
        <v>248042.76315789475</v>
      </c>
      <c r="L604" s="2256"/>
      <c r="M604" s="2255">
        <f>IF(L604=0,J604*K604,J604*K604*L604)</f>
        <v>86814.96710526316</v>
      </c>
      <c r="N604" s="2258">
        <f>IF(L604=0,I597*J604,I597*J604*L604)</f>
        <v>0.99714999999999987</v>
      </c>
      <c r="O604" s="2258"/>
      <c r="P604" s="1952"/>
      <c r="Q604" s="2025"/>
      <c r="R604" s="2025"/>
      <c r="S604" s="2025"/>
    </row>
    <row r="605" spans="1:19" s="474" customFormat="1" ht="15">
      <c r="A605" s="2253"/>
      <c r="B605" s="2268"/>
      <c r="C605" s="2268"/>
      <c r="D605" s="2268"/>
      <c r="E605" s="2253"/>
      <c r="F605" s="2253"/>
      <c r="G605" s="2271" t="s">
        <v>228</v>
      </c>
      <c r="H605" s="2271"/>
      <c r="I605" s="2271"/>
      <c r="J605" s="2274"/>
      <c r="K605" s="2272"/>
      <c r="L605" s="2273"/>
      <c r="M605" s="2272">
        <f>ROUND(SUM(M606:M606),Config!C103)</f>
        <v>145</v>
      </c>
      <c r="N605" s="2258"/>
      <c r="O605" s="2258"/>
      <c r="P605" s="1952"/>
      <c r="Q605" s="2025"/>
      <c r="R605" s="2025"/>
      <c r="S605" s="2025"/>
    </row>
    <row r="606" spans="1:19" s="474" customFormat="1" ht="15">
      <c r="A606" s="2253"/>
      <c r="B606" s="2268"/>
      <c r="C606" s="2268"/>
      <c r="D606" s="2268"/>
      <c r="E606" s="2253"/>
      <c r="F606" s="2253" t="s">
        <v>1868</v>
      </c>
      <c r="G606" s="2269" t="s">
        <v>1869</v>
      </c>
      <c r="H606" s="2253" t="s">
        <v>1836</v>
      </c>
      <c r="I606" s="2253"/>
      <c r="J606" s="2254">
        <v>3.0000000000000001E-3</v>
      </c>
      <c r="K606" s="2363">
        <f>'TH vat tu XD'!G147</f>
        <v>48226</v>
      </c>
      <c r="L606" s="2256"/>
      <c r="M606" s="2255">
        <f>IF(L606=0,J606*K606,J606*K606*L606)</f>
        <v>144.678</v>
      </c>
      <c r="N606" s="2258">
        <f>IF(L606=0,I597*J606,I597*J606*L606)</f>
        <v>8.546999999999999E-3</v>
      </c>
      <c r="O606" s="2258"/>
      <c r="P606" s="1952"/>
      <c r="Q606" s="2025"/>
      <c r="R606" s="2025"/>
      <c r="S606" s="2025"/>
    </row>
    <row r="607" spans="1:19" s="474" customFormat="1" ht="15" hidden="1">
      <c r="A607" s="2253"/>
      <c r="B607" s="2268"/>
      <c r="C607" s="2268"/>
      <c r="D607" s="2268"/>
      <c r="E607" s="2253"/>
      <c r="F607" s="2253"/>
      <c r="G607" s="2252" t="s">
        <v>109</v>
      </c>
      <c r="H607" s="2253"/>
      <c r="I607" s="2253"/>
      <c r="J607" s="2253" t="s">
        <v>333</v>
      </c>
      <c r="K607" s="2255"/>
      <c r="L607" s="2256"/>
      <c r="M607" s="2257">
        <f>M598+M603+M605</f>
        <v>94290</v>
      </c>
      <c r="N607" s="2258"/>
      <c r="O607" s="2258"/>
      <c r="P607" s="1952"/>
      <c r="Q607" s="2025"/>
      <c r="R607" s="2025"/>
      <c r="S607" s="2025"/>
    </row>
    <row r="608" spans="1:19" s="474" customFormat="1" ht="15" hidden="1">
      <c r="A608" s="2253"/>
      <c r="B608" s="2268"/>
      <c r="C608" s="2268"/>
      <c r="D608" s="2268"/>
      <c r="E608" s="2253"/>
      <c r="F608" s="2253"/>
      <c r="G608" s="2252" t="s">
        <v>378</v>
      </c>
      <c r="H608" s="2253"/>
      <c r="I608" s="2253"/>
      <c r="J608" s="2253" t="str">
        <f ca="1">"T*"&amp;'THCP xay dung'!F164*100&amp;"%"</f>
        <v>T*6,2%</v>
      </c>
      <c r="K608" s="2255"/>
      <c r="L608" s="2256"/>
      <c r="M608" s="2257">
        <f ca="1">M607*'THCP xay dung'!F164*100%</f>
        <v>5845.98</v>
      </c>
      <c r="N608" s="2258"/>
      <c r="O608" s="2258"/>
      <c r="P608" s="1952"/>
      <c r="Q608" s="2025"/>
      <c r="R608" s="2025"/>
      <c r="S608" s="2025"/>
    </row>
    <row r="609" spans="1:19" s="474" customFormat="1" ht="28.5" hidden="1">
      <c r="A609" s="2253"/>
      <c r="B609" s="2268"/>
      <c r="C609" s="2268"/>
      <c r="D609" s="2268"/>
      <c r="E609" s="2253"/>
      <c r="F609" s="2253"/>
      <c r="G609" s="2252" t="s">
        <v>702</v>
      </c>
      <c r="H609" s="2253"/>
      <c r="I609" s="2253"/>
      <c r="J609" s="2253" t="str">
        <f>IF('THCP xay dung'!G165&lt;&gt;1,"T*"&amp;'THCP xay dung'!F165*100&amp;"%"&amp;"*"&amp;'THCP xay dung'!G165,"T*"&amp;'THCP xay dung'!F165*100&amp;"%")</f>
        <v>T*1,1%</v>
      </c>
      <c r="K609" s="2255"/>
      <c r="L609" s="2256"/>
      <c r="M609" s="2257">
        <f>IF('THCP xay dung'!G165&lt;&gt;1,M607*'THCP xay dung'!F165*100%*'THCP xay dung'!G165,M607*'THCP xay dung'!F165*100%)</f>
        <v>1037.19</v>
      </c>
      <c r="N609" s="2258"/>
      <c r="O609" s="2258"/>
      <c r="P609" s="1952"/>
      <c r="Q609" s="2025"/>
      <c r="R609" s="2025"/>
      <c r="S609" s="2025"/>
    </row>
    <row r="610" spans="1:19" s="474" customFormat="1" ht="42.75" hidden="1">
      <c r="A610" s="2253"/>
      <c r="B610" s="2268"/>
      <c r="C610" s="2268"/>
      <c r="D610" s="2268"/>
      <c r="E610" s="2253"/>
      <c r="F610" s="2253"/>
      <c r="G610" s="2252" t="s">
        <v>703</v>
      </c>
      <c r="H610" s="2253"/>
      <c r="I610" s="2253"/>
      <c r="J610" s="2253" t="str">
        <f ca="1">"T*"&amp;'THCP xay dung'!F166*100&amp;"%"</f>
        <v>T*2%</v>
      </c>
      <c r="K610" s="2255"/>
      <c r="L610" s="2256"/>
      <c r="M610" s="2257">
        <f ca="1">M607*'THCP xay dung'!F166*100%</f>
        <v>1885.8</v>
      </c>
      <c r="N610" s="2258"/>
      <c r="O610" s="2258"/>
      <c r="P610" s="1952"/>
      <c r="Q610" s="2025"/>
      <c r="R610" s="2025"/>
      <c r="S610" s="2025"/>
    </row>
    <row r="611" spans="1:19" s="474" customFormat="1" ht="15" hidden="1">
      <c r="A611" s="2253"/>
      <c r="B611" s="2268"/>
      <c r="C611" s="2268"/>
      <c r="D611" s="2268"/>
      <c r="E611" s="2253"/>
      <c r="F611" s="2253"/>
      <c r="G611" s="2252" t="s">
        <v>701</v>
      </c>
      <c r="H611" s="2253"/>
      <c r="I611" s="2253"/>
      <c r="J611" s="2253" t="s">
        <v>931</v>
      </c>
      <c r="K611" s="2255"/>
      <c r="L611" s="2256"/>
      <c r="M611" s="2257">
        <f ca="1">M608+M609+M610</f>
        <v>8768.9699999999993</v>
      </c>
      <c r="N611" s="2258"/>
      <c r="O611" s="2258"/>
      <c r="P611" s="1952"/>
      <c r="Q611" s="2025"/>
      <c r="R611" s="2025"/>
      <c r="S611" s="2025"/>
    </row>
    <row r="612" spans="1:19" s="474" customFormat="1" ht="15" hidden="1">
      <c r="A612" s="2253"/>
      <c r="B612" s="2268"/>
      <c r="C612" s="2268"/>
      <c r="D612" s="2268"/>
      <c r="E612" s="2253"/>
      <c r="F612" s="2253"/>
      <c r="G612" s="2252" t="s">
        <v>574</v>
      </c>
      <c r="H612" s="2253"/>
      <c r="I612" s="2253"/>
      <c r="J612" s="2253" t="str">
        <f ca="1">"(T+GT)*"&amp;'THCP xay dung'!F168*100&amp;"%"</f>
        <v>(T+GT)*6%</v>
      </c>
      <c r="K612" s="2255"/>
      <c r="L612" s="2256"/>
      <c r="M612" s="2257">
        <f ca="1">(M607+M611)*'THCP xay dung'!F168*100%</f>
        <v>6183.5382</v>
      </c>
      <c r="N612" s="2258"/>
      <c r="O612" s="2258"/>
      <c r="P612" s="1952"/>
      <c r="Q612" s="2025"/>
      <c r="R612" s="2025"/>
      <c r="S612" s="2025"/>
    </row>
    <row r="613" spans="1:19" s="474" customFormat="1" ht="15" hidden="1">
      <c r="A613" s="2253"/>
      <c r="B613" s="2268"/>
      <c r="C613" s="2268"/>
      <c r="D613" s="2268"/>
      <c r="E613" s="2253"/>
      <c r="F613" s="2253"/>
      <c r="G613" s="2252" t="s">
        <v>113</v>
      </c>
      <c r="H613" s="2253"/>
      <c r="I613" s="2253"/>
      <c r="J613" s="2253" t="s">
        <v>705</v>
      </c>
      <c r="K613" s="2255"/>
      <c r="L613" s="2256"/>
      <c r="M613" s="2257">
        <f ca="1">M607+M611+M612</f>
        <v>109242.5082</v>
      </c>
      <c r="N613" s="2258"/>
      <c r="O613" s="2258"/>
      <c r="P613" s="1952"/>
      <c r="Q613" s="2025"/>
      <c r="R613" s="2025"/>
      <c r="S613" s="2025"/>
    </row>
    <row r="614" spans="1:19" s="474" customFormat="1" ht="15" hidden="1">
      <c r="A614" s="2253"/>
      <c r="B614" s="2268"/>
      <c r="C614" s="2268"/>
      <c r="D614" s="2268"/>
      <c r="E614" s="2253"/>
      <c r="F614" s="2253"/>
      <c r="G614" s="2252" t="s">
        <v>575</v>
      </c>
      <c r="H614" s="2253"/>
      <c r="I614" s="2253"/>
      <c r="J614" s="2253" t="str">
        <f>"G*"&amp;'THCP xay dung'!F170*100&amp;"%"</f>
        <v>G*10%</v>
      </c>
      <c r="K614" s="2255"/>
      <c r="L614" s="2256"/>
      <c r="M614" s="2257">
        <f ca="1">M613*'THCP xay dung'!F170*100%</f>
        <v>10924.250820000001</v>
      </c>
      <c r="N614" s="2258"/>
      <c r="O614" s="2258"/>
      <c r="P614" s="1952"/>
      <c r="Q614" s="2025"/>
      <c r="R614" s="2025"/>
      <c r="S614" s="2025"/>
    </row>
    <row r="615" spans="1:19" s="474" customFormat="1" ht="15" hidden="1">
      <c r="A615" s="2253"/>
      <c r="B615" s="2268"/>
      <c r="C615" s="2268"/>
      <c r="D615" s="2268"/>
      <c r="E615" s="2253"/>
      <c r="F615" s="2253"/>
      <c r="G615" s="2252" t="s">
        <v>117</v>
      </c>
      <c r="H615" s="2253"/>
      <c r="I615" s="2253"/>
      <c r="J615" s="2253" t="s">
        <v>596</v>
      </c>
      <c r="K615" s="2255"/>
      <c r="L615" s="2256"/>
      <c r="M615" s="2257">
        <f ca="1">M613+M614</f>
        <v>120166.75902</v>
      </c>
      <c r="N615" s="2258"/>
      <c r="O615" s="2258"/>
      <c r="P615" s="1952"/>
      <c r="Q615" s="2025"/>
      <c r="R615" s="2025"/>
      <c r="S615" s="2025"/>
    </row>
    <row r="616" spans="1:19" s="474" customFormat="1" ht="15" hidden="1">
      <c r="A616" s="2253"/>
      <c r="B616" s="2268"/>
      <c r="C616" s="2268"/>
      <c r="D616" s="2268"/>
      <c r="E616" s="2253"/>
      <c r="F616" s="2253"/>
      <c r="G616" s="2252" t="s">
        <v>168</v>
      </c>
      <c r="H616" s="2253"/>
      <c r="I616" s="2253"/>
      <c r="J616" s="2253" t="str">
        <f ca="1">"GXD*"&amp;'THCP xay dung'!F172*100&amp;"%"</f>
        <v>GXD*6%</v>
      </c>
      <c r="K616" s="2255"/>
      <c r="L616" s="2256"/>
      <c r="M616" s="2257">
        <f ca="1">M615*'THCP xay dung'!F172*100%</f>
        <v>7210.0055411999992</v>
      </c>
      <c r="N616" s="2258"/>
      <c r="O616" s="2258"/>
      <c r="P616" s="1952"/>
      <c r="Q616" s="2025"/>
      <c r="R616" s="2025"/>
      <c r="S616" s="2025"/>
    </row>
    <row r="617" spans="1:19" s="474" customFormat="1" ht="15" hidden="1">
      <c r="A617" s="2262" t="s">
        <v>304</v>
      </c>
      <c r="B617" s="2270"/>
      <c r="C617" s="2270"/>
      <c r="D617" s="2270"/>
      <c r="E617" s="2262"/>
      <c r="F617" s="2262"/>
      <c r="G617" s="2261" t="s">
        <v>1837</v>
      </c>
      <c r="H617" s="2262"/>
      <c r="I617" s="2262"/>
      <c r="J617" s="2262" t="s">
        <v>1636</v>
      </c>
      <c r="K617" s="2263"/>
      <c r="L617" s="2264"/>
      <c r="M617" s="2265">
        <f ca="1">M615+M616</f>
        <v>127376.76456119999</v>
      </c>
      <c r="N617" s="2064"/>
      <c r="O617" s="2064"/>
      <c r="P617" s="1952"/>
      <c r="Q617" s="2025"/>
      <c r="R617" s="2025"/>
      <c r="S617" s="2025"/>
    </row>
    <row r="618" spans="1:19" s="474" customFormat="1" ht="30">
      <c r="A618" s="2248">
        <v>91</v>
      </c>
      <c r="B618" s="2266">
        <f>'Du toan XD'!B242</f>
        <v>5</v>
      </c>
      <c r="C618" s="2266" t="s">
        <v>1964</v>
      </c>
      <c r="D618" s="2266" t="s">
        <v>1974</v>
      </c>
      <c r="E618" s="2248" t="s">
        <v>1565</v>
      </c>
      <c r="F618" s="2248"/>
      <c r="G618" s="2267" t="str">
        <f>'Du toan XD'!F242</f>
        <v>Trát xà dầm, vữa XM PCB40 mác 50</v>
      </c>
      <c r="H618" s="2248" t="str">
        <f>'Du toan XD'!G242</f>
        <v>m²</v>
      </c>
      <c r="I618" s="2248">
        <f>'Du toan XD'!H242</f>
        <v>18.763400000000001</v>
      </c>
      <c r="J618" s="2249"/>
      <c r="K618" s="2250"/>
      <c r="L618" s="2251"/>
      <c r="M618" s="2250"/>
      <c r="N618" s="2131"/>
      <c r="O618" s="2131"/>
      <c r="P618" s="1952">
        <f>M619</f>
        <v>7330</v>
      </c>
      <c r="Q618" s="2025"/>
      <c r="R618" s="2025">
        <f>M624</f>
        <v>86815</v>
      </c>
      <c r="S618" s="2025">
        <f>M626</f>
        <v>145</v>
      </c>
    </row>
    <row r="619" spans="1:19" s="474" customFormat="1" ht="15">
      <c r="A619" s="2253"/>
      <c r="B619" s="2268"/>
      <c r="C619" s="2268"/>
      <c r="D619" s="2268"/>
      <c r="E619" s="2253"/>
      <c r="F619" s="2253"/>
      <c r="G619" s="2271" t="s">
        <v>224</v>
      </c>
      <c r="H619" s="2271"/>
      <c r="I619" s="2271"/>
      <c r="J619" s="2274"/>
      <c r="K619" s="2272"/>
      <c r="L619" s="2273"/>
      <c r="M619" s="2272">
        <f>ROUND(SUM(M620:M623),Config!C103)</f>
        <v>7330</v>
      </c>
      <c r="N619" s="2258"/>
      <c r="O619" s="2258"/>
      <c r="P619" s="1952"/>
      <c r="Q619" s="2025"/>
      <c r="R619" s="2025"/>
      <c r="S619" s="2025"/>
    </row>
    <row r="620" spans="1:19" s="474" customFormat="1" ht="15">
      <c r="A620" s="2253"/>
      <c r="B620" s="2268"/>
      <c r="C620" s="2268" t="s">
        <v>1964</v>
      </c>
      <c r="D620" s="2268"/>
      <c r="E620" s="2253"/>
      <c r="F620" s="2253" t="s">
        <v>1901</v>
      </c>
      <c r="G620" s="2269" t="s">
        <v>1902</v>
      </c>
      <c r="H620" s="2253" t="s">
        <v>1856</v>
      </c>
      <c r="I620" s="2253"/>
      <c r="J620" s="2254">
        <f>218*0.018</f>
        <v>3.9239999999999995</v>
      </c>
      <c r="K620" s="2363">
        <f>'TH vat tu XD'!G139</f>
        <v>1380</v>
      </c>
      <c r="L620" s="2256"/>
      <c r="M620" s="2255">
        <f>IF(L620=0,J620*K620,J620*K620*L620)</f>
        <v>5415.119999999999</v>
      </c>
      <c r="N620" s="2258">
        <f>IF(L620=0,I618*J620,I618*J620*L620)</f>
        <v>73.627581599999999</v>
      </c>
      <c r="O620" s="2258">
        <f>J623%*N620</f>
        <v>0.36813790800000001</v>
      </c>
      <c r="P620" s="1952"/>
      <c r="Q620" s="2025"/>
      <c r="R620" s="2025"/>
      <c r="S620" s="2025"/>
    </row>
    <row r="621" spans="1:19" s="474" customFormat="1" ht="15">
      <c r="A621" s="2253"/>
      <c r="B621" s="2268"/>
      <c r="C621" s="2268" t="s">
        <v>1964</v>
      </c>
      <c r="D621" s="2268"/>
      <c r="E621" s="2253"/>
      <c r="F621" s="2253" t="s">
        <v>1967</v>
      </c>
      <c r="G621" s="2269" t="s">
        <v>1968</v>
      </c>
      <c r="H621" s="2253" t="s">
        <v>1848</v>
      </c>
      <c r="I621" s="2253"/>
      <c r="J621" s="2254">
        <f>1.201*0.018</f>
        <v>2.1617999999999998E-2</v>
      </c>
      <c r="K621" s="2363">
        <f>'TH vat tu XD'!G129</f>
        <v>85000</v>
      </c>
      <c r="L621" s="2256"/>
      <c r="M621" s="2255">
        <f>IF(L621=0,J621*K621,J621*K621*L621)</f>
        <v>1837.5299999999997</v>
      </c>
      <c r="N621" s="2258">
        <f>IF(L621=0,I618*J621,I618*J621*L621)</f>
        <v>0.40562718119999996</v>
      </c>
      <c r="O621" s="2258">
        <f>J623%*N621</f>
        <v>2.0281359059999998E-3</v>
      </c>
      <c r="P621" s="1952"/>
      <c r="Q621" s="2025"/>
      <c r="R621" s="2025"/>
      <c r="S621" s="2025"/>
    </row>
    <row r="622" spans="1:19" s="474" customFormat="1" ht="15">
      <c r="A622" s="2253"/>
      <c r="B622" s="2268"/>
      <c r="C622" s="2268" t="s">
        <v>1964</v>
      </c>
      <c r="D622" s="2268"/>
      <c r="E622" s="2253"/>
      <c r="F622" s="2253" t="s">
        <v>1859</v>
      </c>
      <c r="G622" s="2269" t="s">
        <v>1860</v>
      </c>
      <c r="H622" s="2253" t="s">
        <v>1861</v>
      </c>
      <c r="I622" s="2253"/>
      <c r="J622" s="2254">
        <f>281*0.018</f>
        <v>5.0579999999999998</v>
      </c>
      <c r="K622" s="2363">
        <f>'TH vat tu XD'!G133</f>
        <v>8</v>
      </c>
      <c r="L622" s="2256"/>
      <c r="M622" s="2255">
        <f>IF(L622=0,J622*K622,J622*K622*L622)</f>
        <v>40.463999999999999</v>
      </c>
      <c r="N622" s="2258">
        <f>IF(L622=0,I618*J622,I618*J622*L622)</f>
        <v>94.9052772</v>
      </c>
      <c r="O622" s="2258">
        <f>J623%*N622</f>
        <v>0.47452638600000002</v>
      </c>
      <c r="P622" s="1952"/>
      <c r="Q622" s="2025"/>
      <c r="R622" s="2025"/>
      <c r="S622" s="2025"/>
    </row>
    <row r="623" spans="1:19" s="474" customFormat="1" ht="15">
      <c r="A623" s="2253"/>
      <c r="B623" s="2268"/>
      <c r="C623" s="2268"/>
      <c r="D623" s="2268"/>
      <c r="E623" s="2253"/>
      <c r="F623" s="2253" t="s">
        <v>1882</v>
      </c>
      <c r="G623" s="2269" t="s">
        <v>226</v>
      </c>
      <c r="H623" s="2253" t="s">
        <v>1850</v>
      </c>
      <c r="I623" s="2253"/>
      <c r="J623" s="2254">
        <v>0.5</v>
      </c>
      <c r="K623" s="2255"/>
      <c r="L623" s="2256"/>
      <c r="M623" s="2255">
        <f>SUM(M620:M622)*J623%</f>
        <v>36.465569999999992</v>
      </c>
      <c r="N623" s="2258"/>
      <c r="O623" s="2258"/>
      <c r="P623" s="1952"/>
      <c r="Q623" s="2025"/>
      <c r="R623" s="2025"/>
      <c r="S623" s="2025"/>
    </row>
    <row r="624" spans="1:19" s="474" customFormat="1" ht="15">
      <c r="A624" s="2253"/>
      <c r="B624" s="2268"/>
      <c r="C624" s="2268"/>
      <c r="D624" s="2268"/>
      <c r="E624" s="2253"/>
      <c r="F624" s="2253"/>
      <c r="G624" s="2271" t="s">
        <v>225</v>
      </c>
      <c r="H624" s="2271"/>
      <c r="I624" s="2271"/>
      <c r="J624" s="2274"/>
      <c r="K624" s="2272"/>
      <c r="L624" s="2273"/>
      <c r="M624" s="2272">
        <f>ROUND(SUM(M625:M625),Config!C103)</f>
        <v>86815</v>
      </c>
      <c r="N624" s="2258"/>
      <c r="O624" s="2258"/>
      <c r="P624" s="1952"/>
      <c r="Q624" s="2025"/>
      <c r="R624" s="2025"/>
      <c r="S624" s="2025"/>
    </row>
    <row r="625" spans="1:19" s="474" customFormat="1" ht="15">
      <c r="A625" s="2253"/>
      <c r="B625" s="2268"/>
      <c r="C625" s="2268"/>
      <c r="D625" s="2268"/>
      <c r="E625" s="2253"/>
      <c r="F625" s="2253" t="s">
        <v>1951</v>
      </c>
      <c r="G625" s="2269" t="s">
        <v>1952</v>
      </c>
      <c r="H625" s="2253" t="s">
        <v>1833</v>
      </c>
      <c r="I625" s="2253"/>
      <c r="J625" s="2254">
        <v>0.35</v>
      </c>
      <c r="K625" s="2363">
        <f>'TH vat tu XD'!G144</f>
        <v>248042.76315789475</v>
      </c>
      <c r="L625" s="2256"/>
      <c r="M625" s="2255">
        <f>IF(L625=0,J625*K625,J625*K625*L625)</f>
        <v>86814.96710526316</v>
      </c>
      <c r="N625" s="2258">
        <f>IF(L625=0,I618*J625,I618*J625*L625)</f>
        <v>6.5671900000000001</v>
      </c>
      <c r="O625" s="2258"/>
      <c r="P625" s="1952"/>
      <c r="Q625" s="2025"/>
      <c r="R625" s="2025"/>
      <c r="S625" s="2025"/>
    </row>
    <row r="626" spans="1:19" s="474" customFormat="1" ht="15">
      <c r="A626" s="2253"/>
      <c r="B626" s="2268"/>
      <c r="C626" s="2268"/>
      <c r="D626" s="2268"/>
      <c r="E626" s="2253"/>
      <c r="F626" s="2253"/>
      <c r="G626" s="2271" t="s">
        <v>228</v>
      </c>
      <c r="H626" s="2271"/>
      <c r="I626" s="2271"/>
      <c r="J626" s="2274"/>
      <c r="K626" s="2272"/>
      <c r="L626" s="2273"/>
      <c r="M626" s="2272">
        <f>ROUND(SUM(M627:M627),Config!C103)</f>
        <v>145</v>
      </c>
      <c r="N626" s="2258"/>
      <c r="O626" s="2258"/>
      <c r="P626" s="1952"/>
      <c r="Q626" s="2025"/>
      <c r="R626" s="2025"/>
      <c r="S626" s="2025"/>
    </row>
    <row r="627" spans="1:19" s="474" customFormat="1" ht="15">
      <c r="A627" s="2253"/>
      <c r="B627" s="2268"/>
      <c r="C627" s="2268"/>
      <c r="D627" s="2268"/>
      <c r="E627" s="2253"/>
      <c r="F627" s="2253" t="s">
        <v>1868</v>
      </c>
      <c r="G627" s="2269" t="s">
        <v>1869</v>
      </c>
      <c r="H627" s="2253" t="s">
        <v>1836</v>
      </c>
      <c r="I627" s="2253"/>
      <c r="J627" s="2254">
        <v>3.0000000000000001E-3</v>
      </c>
      <c r="K627" s="2363">
        <f>'TH vat tu XD'!G147</f>
        <v>48226</v>
      </c>
      <c r="L627" s="2256"/>
      <c r="M627" s="2255">
        <f>IF(L627=0,J627*K627,J627*K627*L627)</f>
        <v>144.678</v>
      </c>
      <c r="N627" s="2258">
        <f>IF(L627=0,I618*J627,I618*J627*L627)</f>
        <v>5.6290200000000006E-2</v>
      </c>
      <c r="O627" s="2258"/>
      <c r="P627" s="1952"/>
      <c r="Q627" s="2025"/>
      <c r="R627" s="2025"/>
      <c r="S627" s="2025"/>
    </row>
    <row r="628" spans="1:19" s="474" customFormat="1" ht="15" hidden="1">
      <c r="A628" s="2253"/>
      <c r="B628" s="2268"/>
      <c r="C628" s="2268"/>
      <c r="D628" s="2268"/>
      <c r="E628" s="2253"/>
      <c r="F628" s="2253"/>
      <c r="G628" s="2252" t="s">
        <v>109</v>
      </c>
      <c r="H628" s="2253"/>
      <c r="I628" s="2253"/>
      <c r="J628" s="2253" t="s">
        <v>333</v>
      </c>
      <c r="K628" s="2255"/>
      <c r="L628" s="2256"/>
      <c r="M628" s="2257">
        <f>M619+M624+M626</f>
        <v>94290</v>
      </c>
      <c r="N628" s="2258"/>
      <c r="O628" s="2258"/>
      <c r="P628" s="1952"/>
      <c r="Q628" s="2025"/>
      <c r="R628" s="2025"/>
      <c r="S628" s="2025"/>
    </row>
    <row r="629" spans="1:19" s="474" customFormat="1" ht="15" hidden="1">
      <c r="A629" s="2253"/>
      <c r="B629" s="2268"/>
      <c r="C629" s="2268"/>
      <c r="D629" s="2268"/>
      <c r="E629" s="2253"/>
      <c r="F629" s="2253"/>
      <c r="G629" s="2252" t="s">
        <v>378</v>
      </c>
      <c r="H629" s="2253"/>
      <c r="I629" s="2253"/>
      <c r="J629" s="2253" t="str">
        <f ca="1">"T*"&amp;'THCP xay dung'!F164*100&amp;"%"</f>
        <v>T*6,2%</v>
      </c>
      <c r="K629" s="2255"/>
      <c r="L629" s="2256"/>
      <c r="M629" s="2257">
        <f ca="1">M628*'THCP xay dung'!F164*100%</f>
        <v>5845.98</v>
      </c>
      <c r="N629" s="2258"/>
      <c r="O629" s="2258"/>
      <c r="P629" s="1952"/>
      <c r="Q629" s="2025"/>
      <c r="R629" s="2025"/>
      <c r="S629" s="2025"/>
    </row>
    <row r="630" spans="1:19" s="474" customFormat="1" ht="28.5" hidden="1">
      <c r="A630" s="2253"/>
      <c r="B630" s="2268"/>
      <c r="C630" s="2268"/>
      <c r="D630" s="2268"/>
      <c r="E630" s="2253"/>
      <c r="F630" s="2253"/>
      <c r="G630" s="2252" t="s">
        <v>702</v>
      </c>
      <c r="H630" s="2253"/>
      <c r="I630" s="2253"/>
      <c r="J630" s="2253" t="str">
        <f>IF('THCP xay dung'!G165&lt;&gt;1,"T*"&amp;'THCP xay dung'!F165*100&amp;"%"&amp;"*"&amp;'THCP xay dung'!G165,"T*"&amp;'THCP xay dung'!F165*100&amp;"%")</f>
        <v>T*1,1%</v>
      </c>
      <c r="K630" s="2255"/>
      <c r="L630" s="2256"/>
      <c r="M630" s="2257">
        <f>IF('THCP xay dung'!G165&lt;&gt;1,M628*'THCP xay dung'!F165*100%*'THCP xay dung'!G165,M628*'THCP xay dung'!F165*100%)</f>
        <v>1037.19</v>
      </c>
      <c r="N630" s="2258"/>
      <c r="O630" s="2258"/>
      <c r="P630" s="1952"/>
      <c r="Q630" s="2025"/>
      <c r="R630" s="2025"/>
      <c r="S630" s="2025"/>
    </row>
    <row r="631" spans="1:19" s="474" customFormat="1" ht="42.75" hidden="1">
      <c r="A631" s="2253"/>
      <c r="B631" s="2268"/>
      <c r="C631" s="2268"/>
      <c r="D631" s="2268"/>
      <c r="E631" s="2253"/>
      <c r="F631" s="2253"/>
      <c r="G631" s="2252" t="s">
        <v>703</v>
      </c>
      <c r="H631" s="2253"/>
      <c r="I631" s="2253"/>
      <c r="J631" s="2253" t="str">
        <f ca="1">"T*"&amp;'THCP xay dung'!F166*100&amp;"%"</f>
        <v>T*2%</v>
      </c>
      <c r="K631" s="2255"/>
      <c r="L631" s="2256"/>
      <c r="M631" s="2257">
        <f ca="1">M628*'THCP xay dung'!F166*100%</f>
        <v>1885.8</v>
      </c>
      <c r="N631" s="2258"/>
      <c r="O631" s="2258"/>
      <c r="P631" s="1952"/>
      <c r="Q631" s="2025"/>
      <c r="R631" s="2025"/>
      <c r="S631" s="2025"/>
    </row>
    <row r="632" spans="1:19" s="474" customFormat="1" ht="15" hidden="1">
      <c r="A632" s="2253"/>
      <c r="B632" s="2268"/>
      <c r="C632" s="2268"/>
      <c r="D632" s="2268"/>
      <c r="E632" s="2253"/>
      <c r="F632" s="2253"/>
      <c r="G632" s="2252" t="s">
        <v>701</v>
      </c>
      <c r="H632" s="2253"/>
      <c r="I632" s="2253"/>
      <c r="J632" s="2253" t="s">
        <v>931</v>
      </c>
      <c r="K632" s="2255"/>
      <c r="L632" s="2256"/>
      <c r="M632" s="2257">
        <f ca="1">M629+M630+M631</f>
        <v>8768.9699999999993</v>
      </c>
      <c r="N632" s="2258"/>
      <c r="O632" s="2258"/>
      <c r="P632" s="1952"/>
      <c r="Q632" s="2025"/>
      <c r="R632" s="2025"/>
      <c r="S632" s="2025"/>
    </row>
    <row r="633" spans="1:19" s="474" customFormat="1" ht="15" hidden="1">
      <c r="A633" s="2253"/>
      <c r="B633" s="2268"/>
      <c r="C633" s="2268"/>
      <c r="D633" s="2268"/>
      <c r="E633" s="2253"/>
      <c r="F633" s="2253"/>
      <c r="G633" s="2252" t="s">
        <v>574</v>
      </c>
      <c r="H633" s="2253"/>
      <c r="I633" s="2253"/>
      <c r="J633" s="2253" t="str">
        <f ca="1">"(T+GT)*"&amp;'THCP xay dung'!F168*100&amp;"%"</f>
        <v>(T+GT)*6%</v>
      </c>
      <c r="K633" s="2255"/>
      <c r="L633" s="2256"/>
      <c r="M633" s="2257">
        <f ca="1">(M628+M632)*'THCP xay dung'!F168*100%</f>
        <v>6183.5382</v>
      </c>
      <c r="N633" s="2258"/>
      <c r="O633" s="2258"/>
      <c r="P633" s="1952"/>
      <c r="Q633" s="2025"/>
      <c r="R633" s="2025"/>
      <c r="S633" s="2025"/>
    </row>
    <row r="634" spans="1:19" s="474" customFormat="1" ht="15" hidden="1">
      <c r="A634" s="2253"/>
      <c r="B634" s="2268"/>
      <c r="C634" s="2268"/>
      <c r="D634" s="2268"/>
      <c r="E634" s="2253"/>
      <c r="F634" s="2253"/>
      <c r="G634" s="2252" t="s">
        <v>113</v>
      </c>
      <c r="H634" s="2253"/>
      <c r="I634" s="2253"/>
      <c r="J634" s="2253" t="s">
        <v>705</v>
      </c>
      <c r="K634" s="2255"/>
      <c r="L634" s="2256"/>
      <c r="M634" s="2257">
        <f ca="1">M628+M632+M633</f>
        <v>109242.5082</v>
      </c>
      <c r="N634" s="2258"/>
      <c r="O634" s="2258"/>
      <c r="P634" s="1952"/>
      <c r="Q634" s="2025"/>
      <c r="R634" s="2025"/>
      <c r="S634" s="2025"/>
    </row>
    <row r="635" spans="1:19" s="474" customFormat="1" ht="15" hidden="1">
      <c r="A635" s="2253"/>
      <c r="B635" s="2268"/>
      <c r="C635" s="2268"/>
      <c r="D635" s="2268"/>
      <c r="E635" s="2253"/>
      <c r="F635" s="2253"/>
      <c r="G635" s="2252" t="s">
        <v>575</v>
      </c>
      <c r="H635" s="2253"/>
      <c r="I635" s="2253"/>
      <c r="J635" s="2253" t="str">
        <f>"G*"&amp;'THCP xay dung'!F170*100&amp;"%"</f>
        <v>G*10%</v>
      </c>
      <c r="K635" s="2255"/>
      <c r="L635" s="2256"/>
      <c r="M635" s="2257">
        <f ca="1">M634*'THCP xay dung'!F170*100%</f>
        <v>10924.250820000001</v>
      </c>
      <c r="N635" s="2258"/>
      <c r="O635" s="2258"/>
      <c r="P635" s="1952"/>
      <c r="Q635" s="2025"/>
      <c r="R635" s="2025"/>
      <c r="S635" s="2025"/>
    </row>
    <row r="636" spans="1:19" s="474" customFormat="1" ht="15" hidden="1">
      <c r="A636" s="2253"/>
      <c r="B636" s="2268"/>
      <c r="C636" s="2268"/>
      <c r="D636" s="2268"/>
      <c r="E636" s="2253"/>
      <c r="F636" s="2253"/>
      <c r="G636" s="2252" t="s">
        <v>117</v>
      </c>
      <c r="H636" s="2253"/>
      <c r="I636" s="2253"/>
      <c r="J636" s="2253" t="s">
        <v>596</v>
      </c>
      <c r="K636" s="2255"/>
      <c r="L636" s="2256"/>
      <c r="M636" s="2257">
        <f ca="1">M634+M635</f>
        <v>120166.75902</v>
      </c>
      <c r="N636" s="2258"/>
      <c r="O636" s="2258"/>
      <c r="P636" s="1952"/>
      <c r="Q636" s="2025"/>
      <c r="R636" s="2025"/>
      <c r="S636" s="2025"/>
    </row>
    <row r="637" spans="1:19" s="474" customFormat="1" ht="15" hidden="1">
      <c r="A637" s="2253"/>
      <c r="B637" s="2268"/>
      <c r="C637" s="2268"/>
      <c r="D637" s="2268"/>
      <c r="E637" s="2253"/>
      <c r="F637" s="2253"/>
      <c r="G637" s="2252" t="s">
        <v>168</v>
      </c>
      <c r="H637" s="2253"/>
      <c r="I637" s="2253"/>
      <c r="J637" s="2253" t="str">
        <f ca="1">"GXD*"&amp;'THCP xay dung'!F172*100&amp;"%"</f>
        <v>GXD*6%</v>
      </c>
      <c r="K637" s="2255"/>
      <c r="L637" s="2256"/>
      <c r="M637" s="2257">
        <f ca="1">M636*'THCP xay dung'!F172*100%</f>
        <v>7210.0055411999992</v>
      </c>
      <c r="N637" s="2258"/>
      <c r="O637" s="2258"/>
      <c r="P637" s="1952"/>
      <c r="Q637" s="2025"/>
      <c r="R637" s="2025"/>
      <c r="S637" s="2025"/>
    </row>
    <row r="638" spans="1:19" s="474" customFormat="1" ht="15" hidden="1">
      <c r="A638" s="2262" t="s">
        <v>304</v>
      </c>
      <c r="B638" s="2270"/>
      <c r="C638" s="2270"/>
      <c r="D638" s="2270"/>
      <c r="E638" s="2262"/>
      <c r="F638" s="2262"/>
      <c r="G638" s="2261" t="s">
        <v>1837</v>
      </c>
      <c r="H638" s="2262"/>
      <c r="I638" s="2262"/>
      <c r="J638" s="2262" t="s">
        <v>1636</v>
      </c>
      <c r="K638" s="2263"/>
      <c r="L638" s="2264"/>
      <c r="M638" s="2265">
        <f ca="1">M636+M637</f>
        <v>127376.76456119999</v>
      </c>
      <c r="N638" s="2064"/>
      <c r="O638" s="2064"/>
      <c r="P638" s="1952"/>
      <c r="Q638" s="2025"/>
      <c r="R638" s="2025"/>
      <c r="S638" s="2025"/>
    </row>
    <row r="639" spans="1:19" s="474" customFormat="1" ht="45">
      <c r="A639" s="2093">
        <v>92</v>
      </c>
      <c r="B639" s="2094">
        <f>'Du toan XD'!B255</f>
        <v>6</v>
      </c>
      <c r="C639" s="2094"/>
      <c r="D639" s="2094" t="s">
        <v>1566</v>
      </c>
      <c r="E639" s="2093" t="s">
        <v>1566</v>
      </c>
      <c r="F639" s="2093"/>
      <c r="G639" s="2114" t="str">
        <f>'Du toan XD'!F255</f>
        <v>Sơn dầm, trần, cột, tường trong nhà không bả, 1 nước lót + 2 nước phủ bằng sơn các loại</v>
      </c>
      <c r="H639" s="2093" t="str">
        <f>'Du toan XD'!G255</f>
        <v>m²</v>
      </c>
      <c r="I639" s="2093">
        <f>'Du toan XD'!H255</f>
        <v>256.94880000000001</v>
      </c>
      <c r="J639" s="2095"/>
      <c r="K639" s="2096"/>
      <c r="L639" s="2097"/>
      <c r="M639" s="2096"/>
      <c r="N639" s="2098"/>
      <c r="O639" s="2098"/>
      <c r="P639" s="1952">
        <f>M640</f>
        <v>28760</v>
      </c>
      <c r="Q639" s="2025"/>
      <c r="R639" s="2025">
        <f>M644</f>
        <v>15081</v>
      </c>
      <c r="S639" s="2025"/>
    </row>
    <row r="640" spans="1:19" s="474" customFormat="1" ht="15">
      <c r="A640" s="2099"/>
      <c r="B640" s="2100"/>
      <c r="C640" s="2100"/>
      <c r="D640" s="2100"/>
      <c r="E640" s="2099"/>
      <c r="F640" s="2099"/>
      <c r="G640" s="2116" t="s">
        <v>224</v>
      </c>
      <c r="H640" s="2116"/>
      <c r="I640" s="2116"/>
      <c r="J640" s="2120"/>
      <c r="K640" s="2118"/>
      <c r="L640" s="2119"/>
      <c r="M640" s="2118">
        <f>ROUND(SUM(M641:M643),Config!C103)</f>
        <v>28760</v>
      </c>
      <c r="N640" s="2106"/>
      <c r="O640" s="2106"/>
      <c r="P640" s="1952"/>
      <c r="Q640" s="2025"/>
      <c r="R640" s="2025"/>
      <c r="S640" s="2025"/>
    </row>
    <row r="641" spans="1:19" s="474" customFormat="1" ht="15">
      <c r="A641" s="2099"/>
      <c r="B641" s="2100"/>
      <c r="C641" s="2100"/>
      <c r="D641" s="2100"/>
      <c r="E641" s="2099"/>
      <c r="F641" s="2099" t="s">
        <v>1977</v>
      </c>
      <c r="G641" s="2115" t="s">
        <v>1978</v>
      </c>
      <c r="H641" s="2099" t="s">
        <v>1861</v>
      </c>
      <c r="I641" s="2099"/>
      <c r="J641" s="2102">
        <v>0.155</v>
      </c>
      <c r="K641" s="2171">
        <f>'TH vat tu XD'!G135</f>
        <v>70833</v>
      </c>
      <c r="L641" s="2104"/>
      <c r="M641" s="2103">
        <f>IF(L641=0,J641*K641,J641*K641*L641)</f>
        <v>10979.115</v>
      </c>
      <c r="N641" s="2106">
        <f>IF(L641=0,I639*J641,I639*J641*L641)</f>
        <v>39.827064</v>
      </c>
      <c r="O641" s="2106">
        <f>J643%*N641</f>
        <v>0.39827064000000001</v>
      </c>
      <c r="P641" s="1952"/>
      <c r="Q641" s="2025"/>
      <c r="R641" s="2025"/>
      <c r="S641" s="2025"/>
    </row>
    <row r="642" spans="1:19" s="474" customFormat="1" ht="15">
      <c r="A642" s="2099"/>
      <c r="B642" s="2100"/>
      <c r="C642" s="2100"/>
      <c r="D642" s="2100"/>
      <c r="E642" s="2099"/>
      <c r="F642" s="2099" t="s">
        <v>1979</v>
      </c>
      <c r="G642" s="2115" t="s">
        <v>1980</v>
      </c>
      <c r="H642" s="2099" t="s">
        <v>1861</v>
      </c>
      <c r="I642" s="2099"/>
      <c r="J642" s="2102">
        <v>0.247</v>
      </c>
      <c r="K642" s="2171">
        <f>'TH vat tu XD'!G137</f>
        <v>70833</v>
      </c>
      <c r="L642" s="2104"/>
      <c r="M642" s="2103">
        <f>IF(L642=0,J642*K642,J642*K642*L642)</f>
        <v>17495.751</v>
      </c>
      <c r="N642" s="2106">
        <f>IF(L642=0,I639*J642,I639*J642*L642)</f>
        <v>63.466353599999998</v>
      </c>
      <c r="O642" s="2106">
        <f>J643%*N642</f>
        <v>0.63466353600000003</v>
      </c>
      <c r="P642" s="1952"/>
      <c r="Q642" s="2025"/>
      <c r="R642" s="2025"/>
      <c r="S642" s="2025"/>
    </row>
    <row r="643" spans="1:19" s="474" customFormat="1" ht="15">
      <c r="A643" s="2099"/>
      <c r="B643" s="2100"/>
      <c r="C643" s="2100"/>
      <c r="D643" s="2100"/>
      <c r="E643" s="2099"/>
      <c r="F643" s="2099" t="s">
        <v>1882</v>
      </c>
      <c r="G643" s="2115" t="s">
        <v>226</v>
      </c>
      <c r="H643" s="2099" t="s">
        <v>1850</v>
      </c>
      <c r="I643" s="2099"/>
      <c r="J643" s="2102">
        <v>1</v>
      </c>
      <c r="K643" s="2103"/>
      <c r="L643" s="2104"/>
      <c r="M643" s="2103">
        <f>SUM(M641:M642)*J643%</f>
        <v>284.74866000000003</v>
      </c>
      <c r="N643" s="2106"/>
      <c r="O643" s="2106"/>
      <c r="P643" s="1952"/>
      <c r="Q643" s="2025"/>
      <c r="R643" s="2025"/>
      <c r="S643" s="2025"/>
    </row>
    <row r="644" spans="1:19" s="474" customFormat="1" ht="15">
      <c r="A644" s="2099"/>
      <c r="B644" s="2100"/>
      <c r="C644" s="2100"/>
      <c r="D644" s="2100"/>
      <c r="E644" s="2099"/>
      <c r="F644" s="2099"/>
      <c r="G644" s="2116" t="s">
        <v>225</v>
      </c>
      <c r="H644" s="2116"/>
      <c r="I644" s="2116"/>
      <c r="J644" s="2120"/>
      <c r="K644" s="2118"/>
      <c r="L644" s="2119"/>
      <c r="M644" s="2118">
        <f>ROUND(SUM(M645:M645),Config!C103)</f>
        <v>15081</v>
      </c>
      <c r="N644" s="2106"/>
      <c r="O644" s="2106"/>
      <c r="P644" s="1952"/>
      <c r="Q644" s="2025"/>
      <c r="R644" s="2025"/>
      <c r="S644" s="2025"/>
    </row>
    <row r="645" spans="1:19" s="474" customFormat="1" ht="15">
      <c r="A645" s="2099"/>
      <c r="B645" s="2100"/>
      <c r="C645" s="2100"/>
      <c r="D645" s="2100"/>
      <c r="E645" s="2099"/>
      <c r="F645" s="2099" t="s">
        <v>1866</v>
      </c>
      <c r="G645" s="2115" t="s">
        <v>1867</v>
      </c>
      <c r="H645" s="2099" t="s">
        <v>1833</v>
      </c>
      <c r="I645" s="2099"/>
      <c r="J645" s="2102">
        <v>6.6000000000000003E-2</v>
      </c>
      <c r="K645" s="2171">
        <f>'TH vat tu XD'!G143</f>
        <v>228500</v>
      </c>
      <c r="L645" s="2104"/>
      <c r="M645" s="2103">
        <f>IF(L645=0,J645*K645,J645*K645*L645)</f>
        <v>15081</v>
      </c>
      <c r="N645" s="2106">
        <f>IF(L645=0,I639*J645,I639*J645*L645)</f>
        <v>16.958620800000002</v>
      </c>
      <c r="O645" s="2106"/>
      <c r="P645" s="1952"/>
      <c r="Q645" s="2025"/>
      <c r="R645" s="2025"/>
      <c r="S645" s="2025"/>
    </row>
    <row r="646" spans="1:19" s="474" customFormat="1" ht="15" hidden="1">
      <c r="A646" s="2099"/>
      <c r="B646" s="2100"/>
      <c r="C646" s="2100"/>
      <c r="D646" s="2100"/>
      <c r="E646" s="2099"/>
      <c r="F646" s="2099"/>
      <c r="G646" s="2101" t="s">
        <v>109</v>
      </c>
      <c r="H646" s="2099"/>
      <c r="I646" s="2099"/>
      <c r="J646" s="2099" t="s">
        <v>333</v>
      </c>
      <c r="K646" s="2103"/>
      <c r="L646" s="2104"/>
      <c r="M646" s="2105">
        <f>M640+M644+0</f>
        <v>43841</v>
      </c>
      <c r="N646" s="2106"/>
      <c r="O646" s="2106"/>
      <c r="P646" s="1952"/>
      <c r="Q646" s="2025"/>
      <c r="R646" s="2025"/>
      <c r="S646" s="2025"/>
    </row>
    <row r="647" spans="1:19" s="474" customFormat="1" ht="15" hidden="1">
      <c r="A647" s="2099"/>
      <c r="B647" s="2100"/>
      <c r="C647" s="2100"/>
      <c r="D647" s="2100"/>
      <c r="E647" s="2099"/>
      <c r="F647" s="2099"/>
      <c r="G647" s="2101" t="s">
        <v>378</v>
      </c>
      <c r="H647" s="2099"/>
      <c r="I647" s="2099"/>
      <c r="J647" s="2099" t="str">
        <f ca="1">"T*"&amp;'THCP xay dung'!F164*100&amp;"%"</f>
        <v>T*6,2%</v>
      </c>
      <c r="K647" s="2103"/>
      <c r="L647" s="2104"/>
      <c r="M647" s="2105">
        <f ca="1">M646*'THCP xay dung'!F164*100%</f>
        <v>2718.1419999999998</v>
      </c>
      <c r="N647" s="2106"/>
      <c r="O647" s="2106"/>
      <c r="P647" s="1952"/>
      <c r="Q647" s="2025"/>
      <c r="R647" s="2025"/>
      <c r="S647" s="2025"/>
    </row>
    <row r="648" spans="1:19" s="474" customFormat="1" ht="28.5" hidden="1">
      <c r="A648" s="2099"/>
      <c r="B648" s="2100"/>
      <c r="C648" s="2100"/>
      <c r="D648" s="2100"/>
      <c r="E648" s="2099"/>
      <c r="F648" s="2099"/>
      <c r="G648" s="2101" t="s">
        <v>702</v>
      </c>
      <c r="H648" s="2099"/>
      <c r="I648" s="2099"/>
      <c r="J648" s="2099" t="str">
        <f>IF('THCP xay dung'!G165&lt;&gt;1,"T*"&amp;'THCP xay dung'!F165*100&amp;"%"&amp;"*"&amp;'THCP xay dung'!G165,"T*"&amp;'THCP xay dung'!F165*100&amp;"%")</f>
        <v>T*1,1%</v>
      </c>
      <c r="K648" s="2103"/>
      <c r="L648" s="2104"/>
      <c r="M648" s="2105">
        <f>IF('THCP xay dung'!G165&lt;&gt;1,M646*'THCP xay dung'!F165*100%*'THCP xay dung'!G165,M646*'THCP xay dung'!F165*100%)</f>
        <v>482.25100000000003</v>
      </c>
      <c r="N648" s="2106"/>
      <c r="O648" s="2106"/>
      <c r="P648" s="1952"/>
      <c r="Q648" s="2025"/>
      <c r="R648" s="2025"/>
      <c r="S648" s="2025"/>
    </row>
    <row r="649" spans="1:19" s="474" customFormat="1" ht="42.75" hidden="1">
      <c r="A649" s="2099"/>
      <c r="B649" s="2100"/>
      <c r="C649" s="2100"/>
      <c r="D649" s="2100"/>
      <c r="E649" s="2099"/>
      <c r="F649" s="2099"/>
      <c r="G649" s="2101" t="s">
        <v>703</v>
      </c>
      <c r="H649" s="2099"/>
      <c r="I649" s="2099"/>
      <c r="J649" s="2099" t="str">
        <f ca="1">"T*"&amp;'THCP xay dung'!F166*100&amp;"%"</f>
        <v>T*2%</v>
      </c>
      <c r="K649" s="2103"/>
      <c r="L649" s="2104"/>
      <c r="M649" s="2105">
        <f ca="1">M646*'THCP xay dung'!F166*100%</f>
        <v>876.82</v>
      </c>
      <c r="N649" s="2106"/>
      <c r="O649" s="2106"/>
      <c r="P649" s="1952"/>
      <c r="Q649" s="2025"/>
      <c r="R649" s="2025"/>
      <c r="S649" s="2025"/>
    </row>
    <row r="650" spans="1:19" s="474" customFormat="1" ht="15" hidden="1">
      <c r="A650" s="2099"/>
      <c r="B650" s="2100"/>
      <c r="C650" s="2100"/>
      <c r="D650" s="2100"/>
      <c r="E650" s="2099"/>
      <c r="F650" s="2099"/>
      <c r="G650" s="2101" t="s">
        <v>701</v>
      </c>
      <c r="H650" s="2099"/>
      <c r="I650" s="2099"/>
      <c r="J650" s="2099" t="s">
        <v>931</v>
      </c>
      <c r="K650" s="2103"/>
      <c r="L650" s="2104"/>
      <c r="M650" s="2105">
        <f ca="1">M647+M648+M649</f>
        <v>4077.2130000000002</v>
      </c>
      <c r="N650" s="2106"/>
      <c r="O650" s="2106"/>
      <c r="P650" s="1952"/>
      <c r="Q650" s="2025"/>
      <c r="R650" s="2025"/>
      <c r="S650" s="2025"/>
    </row>
    <row r="651" spans="1:19" s="474" customFormat="1" ht="15" hidden="1">
      <c r="A651" s="2099"/>
      <c r="B651" s="2100"/>
      <c r="C651" s="2100"/>
      <c r="D651" s="2100"/>
      <c r="E651" s="2099"/>
      <c r="F651" s="2099"/>
      <c r="G651" s="2101" t="s">
        <v>574</v>
      </c>
      <c r="H651" s="2099"/>
      <c r="I651" s="2099"/>
      <c r="J651" s="2099" t="str">
        <f ca="1">"(T+GT)*"&amp;'THCP xay dung'!F168*100&amp;"%"</f>
        <v>(T+GT)*6%</v>
      </c>
      <c r="K651" s="2103"/>
      <c r="L651" s="2104"/>
      <c r="M651" s="2105">
        <f ca="1">(M646+M650)*'THCP xay dung'!F168*100%</f>
        <v>2875.0927799999999</v>
      </c>
      <c r="N651" s="2106"/>
      <c r="O651" s="2106"/>
      <c r="P651" s="1952"/>
      <c r="Q651" s="2025"/>
      <c r="R651" s="2025"/>
      <c r="S651" s="2025"/>
    </row>
    <row r="652" spans="1:19" s="474" customFormat="1" ht="15" hidden="1">
      <c r="A652" s="2099"/>
      <c r="B652" s="2100"/>
      <c r="C652" s="2100"/>
      <c r="D652" s="2100"/>
      <c r="E652" s="2099"/>
      <c r="F652" s="2099"/>
      <c r="G652" s="2101" t="s">
        <v>113</v>
      </c>
      <c r="H652" s="2099"/>
      <c r="I652" s="2099"/>
      <c r="J652" s="2099" t="s">
        <v>705</v>
      </c>
      <c r="K652" s="2103"/>
      <c r="L652" s="2104"/>
      <c r="M652" s="2105">
        <f ca="1">M646+M650+M651</f>
        <v>50793.305780000002</v>
      </c>
      <c r="N652" s="2106"/>
      <c r="O652" s="2106"/>
      <c r="P652" s="1952"/>
      <c r="Q652" s="2025"/>
      <c r="R652" s="2025"/>
      <c r="S652" s="2025"/>
    </row>
    <row r="653" spans="1:19" s="474" customFormat="1" ht="15" hidden="1">
      <c r="A653" s="2099"/>
      <c r="B653" s="2100"/>
      <c r="C653" s="2100"/>
      <c r="D653" s="2100"/>
      <c r="E653" s="2099"/>
      <c r="F653" s="2099"/>
      <c r="G653" s="2101" t="s">
        <v>575</v>
      </c>
      <c r="H653" s="2099"/>
      <c r="I653" s="2099"/>
      <c r="J653" s="2099" t="str">
        <f>"G*"&amp;'THCP xay dung'!F170*100&amp;"%"</f>
        <v>G*10%</v>
      </c>
      <c r="K653" s="2103"/>
      <c r="L653" s="2104"/>
      <c r="M653" s="2105">
        <f ca="1">M652*'THCP xay dung'!F170*100%</f>
        <v>5079.330578000001</v>
      </c>
      <c r="N653" s="2106"/>
      <c r="O653" s="2106"/>
      <c r="P653" s="1952"/>
      <c r="Q653" s="2025"/>
      <c r="R653" s="2025"/>
      <c r="S653" s="2025"/>
    </row>
    <row r="654" spans="1:19" s="474" customFormat="1" ht="15" hidden="1">
      <c r="A654" s="2099"/>
      <c r="B654" s="2100"/>
      <c r="C654" s="2100"/>
      <c r="D654" s="2100"/>
      <c r="E654" s="2099"/>
      <c r="F654" s="2099"/>
      <c r="G654" s="2101" t="s">
        <v>117</v>
      </c>
      <c r="H654" s="2099"/>
      <c r="I654" s="2099"/>
      <c r="J654" s="2099" t="s">
        <v>596</v>
      </c>
      <c r="K654" s="2103"/>
      <c r="L654" s="2104"/>
      <c r="M654" s="2105">
        <f ca="1">M652+M653</f>
        <v>55872.636358000003</v>
      </c>
      <c r="N654" s="2106"/>
      <c r="O654" s="2106"/>
      <c r="P654" s="1952"/>
      <c r="Q654" s="2025"/>
      <c r="R654" s="2025"/>
      <c r="S654" s="2025"/>
    </row>
    <row r="655" spans="1:19" s="474" customFormat="1" ht="15" hidden="1">
      <c r="A655" s="2099"/>
      <c r="B655" s="2100"/>
      <c r="C655" s="2100"/>
      <c r="D655" s="2100"/>
      <c r="E655" s="2099"/>
      <c r="F655" s="2099"/>
      <c r="G655" s="2101" t="s">
        <v>168</v>
      </c>
      <c r="H655" s="2099"/>
      <c r="I655" s="2099"/>
      <c r="J655" s="2099" t="str">
        <f ca="1">"GXD*"&amp;'THCP xay dung'!F172*100&amp;"%"</f>
        <v>GXD*6%</v>
      </c>
      <c r="K655" s="2103"/>
      <c r="L655" s="2104"/>
      <c r="M655" s="2105">
        <f ca="1">M654*'THCP xay dung'!F172*100%</f>
        <v>3352.35818148</v>
      </c>
      <c r="N655" s="2106"/>
      <c r="O655" s="2106"/>
      <c r="P655" s="1952"/>
      <c r="Q655" s="2025"/>
      <c r="R655" s="2025"/>
      <c r="S655" s="2025"/>
    </row>
    <row r="656" spans="1:19" s="474" customFormat="1" ht="15" hidden="1">
      <c r="A656" s="2122" t="s">
        <v>304</v>
      </c>
      <c r="B656" s="2123"/>
      <c r="C656" s="2123"/>
      <c r="D656" s="2123"/>
      <c r="E656" s="2122"/>
      <c r="F656" s="2122"/>
      <c r="G656" s="2109" t="s">
        <v>1837</v>
      </c>
      <c r="H656" s="2107"/>
      <c r="I656" s="2107"/>
      <c r="J656" s="2107" t="s">
        <v>1636</v>
      </c>
      <c r="K656" s="2110"/>
      <c r="L656" s="2111"/>
      <c r="M656" s="2112">
        <f ca="1">M654+M655</f>
        <v>59224.994539480002</v>
      </c>
      <c r="N656" s="2113"/>
      <c r="O656" s="2113"/>
      <c r="P656" s="1952"/>
      <c r="Q656" s="2025"/>
      <c r="R656" s="2025"/>
      <c r="S656" s="2025"/>
    </row>
    <row r="657" spans="1:19" s="474" customFormat="1" ht="45">
      <c r="A657" s="2124">
        <v>93</v>
      </c>
      <c r="B657" s="2125">
        <f>'Du toan XD'!B260</f>
        <v>7</v>
      </c>
      <c r="C657" s="2125"/>
      <c r="D657" s="2125" t="s">
        <v>1567</v>
      </c>
      <c r="E657" s="2126" t="s">
        <v>1567</v>
      </c>
      <c r="F657" s="2126"/>
      <c r="G657" s="2132" t="str">
        <f>'Du toan XD'!F260</f>
        <v>Sơn tường ngoài nhà không bả, 1 nước lót + 2 nước phủ bằng sơn các loại</v>
      </c>
      <c r="H657" s="2126" t="str">
        <f>'Du toan XD'!G260</f>
        <v>m²</v>
      </c>
      <c r="I657" s="2126">
        <f>'Du toan XD'!H260</f>
        <v>176.75539999999998</v>
      </c>
      <c r="J657" s="2127"/>
      <c r="K657" s="2128"/>
      <c r="L657" s="2129"/>
      <c r="M657" s="2128"/>
      <c r="N657" s="2130"/>
      <c r="O657" s="2131"/>
      <c r="P657" s="1952">
        <f>M658</f>
        <v>11531</v>
      </c>
      <c r="Q657" s="2025"/>
      <c r="R657" s="2025">
        <f>M662</f>
        <v>16681</v>
      </c>
      <c r="S657" s="2025"/>
    </row>
    <row r="658" spans="1:19" s="474" customFormat="1" ht="15">
      <c r="A658" s="2050"/>
      <c r="B658" s="2051"/>
      <c r="C658" s="2051"/>
      <c r="D658" s="2051"/>
      <c r="E658" s="2052"/>
      <c r="F658" s="2052"/>
      <c r="G658" s="2067" t="s">
        <v>224</v>
      </c>
      <c r="H658" s="2067"/>
      <c r="I658" s="2067"/>
      <c r="J658" s="2134"/>
      <c r="K658" s="2069"/>
      <c r="L658" s="2070"/>
      <c r="M658" s="2069">
        <f>ROUND(SUM(M659:M661),Config!C103)</f>
        <v>11531</v>
      </c>
      <c r="N658" s="2056"/>
      <c r="O658" s="2057"/>
      <c r="P658" s="1952"/>
      <c r="Q658" s="2025"/>
      <c r="R658" s="2025"/>
      <c r="S658" s="2025"/>
    </row>
    <row r="659" spans="1:19" s="474" customFormat="1" ht="15">
      <c r="A659" s="2050"/>
      <c r="B659" s="2051"/>
      <c r="C659" s="2051"/>
      <c r="D659" s="2051"/>
      <c r="E659" s="2052"/>
      <c r="F659" s="2052" t="s">
        <v>1982</v>
      </c>
      <c r="G659" s="2053" t="s">
        <v>1983</v>
      </c>
      <c r="H659" s="2052" t="s">
        <v>1861</v>
      </c>
      <c r="I659" s="2052"/>
      <c r="J659" s="2073">
        <v>0.15</v>
      </c>
      <c r="K659" s="2170">
        <f>'TH vat tu XD'!G134</f>
        <v>29500</v>
      </c>
      <c r="L659" s="2054"/>
      <c r="M659" s="2055">
        <f>IF(L659=0,J659*K659,J659*K659*L659)</f>
        <v>4425</v>
      </c>
      <c r="N659" s="2056">
        <f>IF(L659=0,I657*J659,I657*J659*L659)</f>
        <v>26.513309999999997</v>
      </c>
      <c r="O659" s="2057">
        <f>J661%*N659</f>
        <v>0.26513309999999995</v>
      </c>
      <c r="P659" s="1952"/>
      <c r="Q659" s="2025"/>
      <c r="R659" s="2025"/>
      <c r="S659" s="2025"/>
    </row>
    <row r="660" spans="1:19" s="474" customFormat="1" ht="15">
      <c r="A660" s="2050"/>
      <c r="B660" s="2051"/>
      <c r="C660" s="2051"/>
      <c r="D660" s="2051"/>
      <c r="E660" s="2052"/>
      <c r="F660" s="2052" t="s">
        <v>1984</v>
      </c>
      <c r="G660" s="2053" t="s">
        <v>1985</v>
      </c>
      <c r="H660" s="2052" t="s">
        <v>1861</v>
      </c>
      <c r="I660" s="2052"/>
      <c r="J660" s="2073">
        <v>0.23699999999999999</v>
      </c>
      <c r="K660" s="2170">
        <f>'TH vat tu XD'!G136</f>
        <v>29500</v>
      </c>
      <c r="L660" s="2054"/>
      <c r="M660" s="2055">
        <f>IF(L660=0,J660*K660,J660*K660*L660)</f>
        <v>6991.5</v>
      </c>
      <c r="N660" s="2056">
        <f>IF(L660=0,I657*J660,I657*J660*L660)</f>
        <v>41.891029799999991</v>
      </c>
      <c r="O660" s="2057">
        <f>J661%*N660</f>
        <v>0.4189102979999999</v>
      </c>
      <c r="P660" s="1952"/>
      <c r="Q660" s="2025"/>
      <c r="R660" s="2025"/>
      <c r="S660" s="2025"/>
    </row>
    <row r="661" spans="1:19" s="474" customFormat="1" ht="15">
      <c r="A661" s="2050"/>
      <c r="B661" s="2051"/>
      <c r="C661" s="2051"/>
      <c r="D661" s="2051"/>
      <c r="E661" s="2052"/>
      <c r="F661" s="2052" t="s">
        <v>1882</v>
      </c>
      <c r="G661" s="2053" t="s">
        <v>226</v>
      </c>
      <c r="H661" s="2052" t="s">
        <v>1850</v>
      </c>
      <c r="I661" s="2052"/>
      <c r="J661" s="2073">
        <v>1</v>
      </c>
      <c r="K661" s="2055"/>
      <c r="L661" s="2054"/>
      <c r="M661" s="2055">
        <f>SUM(M659:M660)*J661%</f>
        <v>114.16500000000001</v>
      </c>
      <c r="N661" s="2056"/>
      <c r="O661" s="2057"/>
      <c r="P661" s="1952"/>
      <c r="Q661" s="2025"/>
      <c r="R661" s="2025"/>
      <c r="S661" s="2025"/>
    </row>
    <row r="662" spans="1:19" s="474" customFormat="1" ht="15">
      <c r="A662" s="2050"/>
      <c r="B662" s="2051"/>
      <c r="C662" s="2051"/>
      <c r="D662" s="2051"/>
      <c r="E662" s="2052"/>
      <c r="F662" s="2052"/>
      <c r="G662" s="2067" t="s">
        <v>225</v>
      </c>
      <c r="H662" s="2067"/>
      <c r="I662" s="2067"/>
      <c r="J662" s="2134"/>
      <c r="K662" s="2069"/>
      <c r="L662" s="2070"/>
      <c r="M662" s="2069">
        <f>ROUND(SUM(M663:M663),Config!C103)</f>
        <v>16681</v>
      </c>
      <c r="N662" s="2056"/>
      <c r="O662" s="2057"/>
      <c r="P662" s="1952"/>
      <c r="Q662" s="2025"/>
      <c r="R662" s="2025"/>
      <c r="S662" s="2025"/>
    </row>
    <row r="663" spans="1:19" s="474" customFormat="1" ht="15">
      <c r="A663" s="2050"/>
      <c r="B663" s="2051"/>
      <c r="C663" s="2051"/>
      <c r="D663" s="2051"/>
      <c r="E663" s="2052"/>
      <c r="F663" s="2052" t="s">
        <v>1866</v>
      </c>
      <c r="G663" s="2053" t="s">
        <v>1867</v>
      </c>
      <c r="H663" s="2052" t="s">
        <v>1833</v>
      </c>
      <c r="I663" s="2052"/>
      <c r="J663" s="2073">
        <v>7.2999999999999995E-2</v>
      </c>
      <c r="K663" s="2170">
        <f>'TH vat tu XD'!G143</f>
        <v>228500</v>
      </c>
      <c r="L663" s="2054"/>
      <c r="M663" s="2055">
        <f>IF(L663=0,J663*K663,J663*K663*L663)</f>
        <v>16680.5</v>
      </c>
      <c r="N663" s="2056">
        <f>IF(L663=0,I657*J663,I657*J663*L663)</f>
        <v>12.903144199999998</v>
      </c>
      <c r="O663" s="2057"/>
      <c r="P663" s="1952"/>
      <c r="Q663" s="2025"/>
      <c r="R663" s="2025"/>
      <c r="S663" s="2025"/>
    </row>
    <row r="664" spans="1:19" s="474" customFormat="1" ht="15" hidden="1">
      <c r="A664" s="2050"/>
      <c r="B664" s="2051"/>
      <c r="C664" s="2051"/>
      <c r="D664" s="2051"/>
      <c r="E664" s="2052"/>
      <c r="F664" s="2052"/>
      <c r="G664" s="2065" t="s">
        <v>109</v>
      </c>
      <c r="H664" s="2052"/>
      <c r="I664" s="2052"/>
      <c r="J664" s="2052" t="s">
        <v>333</v>
      </c>
      <c r="K664" s="2055"/>
      <c r="L664" s="2054"/>
      <c r="M664" s="2066">
        <f>M658+M662+0</f>
        <v>28212</v>
      </c>
      <c r="N664" s="2056"/>
      <c r="O664" s="2057"/>
      <c r="P664" s="1952"/>
      <c r="Q664" s="2025"/>
      <c r="R664" s="2025"/>
      <c r="S664" s="2025"/>
    </row>
    <row r="665" spans="1:19" s="474" customFormat="1" ht="15" hidden="1">
      <c r="A665" s="2050"/>
      <c r="B665" s="2051"/>
      <c r="C665" s="2051"/>
      <c r="D665" s="2051"/>
      <c r="E665" s="2052"/>
      <c r="F665" s="2052"/>
      <c r="G665" s="2065" t="s">
        <v>378</v>
      </c>
      <c r="H665" s="2052"/>
      <c r="I665" s="2052"/>
      <c r="J665" s="2052" t="str">
        <f ca="1">"T*"&amp;'THCP xay dung'!F164*100&amp;"%"</f>
        <v>T*6,2%</v>
      </c>
      <c r="K665" s="2055"/>
      <c r="L665" s="2054"/>
      <c r="M665" s="2066">
        <f ca="1">M664*'THCP xay dung'!F164*100%</f>
        <v>1749.144</v>
      </c>
      <c r="N665" s="2056"/>
      <c r="O665" s="2057"/>
      <c r="P665" s="1952"/>
      <c r="Q665" s="2025"/>
      <c r="R665" s="2025"/>
      <c r="S665" s="2025"/>
    </row>
    <row r="666" spans="1:19" s="474" customFormat="1" ht="28.5" hidden="1">
      <c r="A666" s="2050"/>
      <c r="B666" s="2051"/>
      <c r="C666" s="2051"/>
      <c r="D666" s="2051"/>
      <c r="E666" s="2052"/>
      <c r="F666" s="2052"/>
      <c r="G666" s="2065" t="s">
        <v>702</v>
      </c>
      <c r="H666" s="2052"/>
      <c r="I666" s="2052"/>
      <c r="J666" s="2052" t="str">
        <f>IF('THCP xay dung'!G165&lt;&gt;1,"T*"&amp;'THCP xay dung'!F165*100&amp;"%"&amp;"*"&amp;'THCP xay dung'!G165,"T*"&amp;'THCP xay dung'!F165*100&amp;"%")</f>
        <v>T*1,1%</v>
      </c>
      <c r="K666" s="2055"/>
      <c r="L666" s="2054"/>
      <c r="M666" s="2066">
        <f>IF('THCP xay dung'!G165&lt;&gt;1,M664*'THCP xay dung'!F165*100%*'THCP xay dung'!G165,M664*'THCP xay dung'!F165*100%)</f>
        <v>310.33200000000005</v>
      </c>
      <c r="N666" s="2056"/>
      <c r="O666" s="2057"/>
      <c r="P666" s="1952"/>
      <c r="Q666" s="2025"/>
      <c r="R666" s="2025"/>
      <c r="S666" s="2025"/>
    </row>
    <row r="667" spans="1:19" s="474" customFormat="1" ht="42.75" hidden="1">
      <c r="A667" s="2050"/>
      <c r="B667" s="2051"/>
      <c r="C667" s="2051"/>
      <c r="D667" s="2051"/>
      <c r="E667" s="2052"/>
      <c r="F667" s="2052"/>
      <c r="G667" s="2065" t="s">
        <v>703</v>
      </c>
      <c r="H667" s="2052"/>
      <c r="I667" s="2052"/>
      <c r="J667" s="2052" t="str">
        <f ca="1">"T*"&amp;'THCP xay dung'!F166*100&amp;"%"</f>
        <v>T*2%</v>
      </c>
      <c r="K667" s="2055"/>
      <c r="L667" s="2054"/>
      <c r="M667" s="2066">
        <f ca="1">M664*'THCP xay dung'!F166*100%</f>
        <v>564.24</v>
      </c>
      <c r="N667" s="2056"/>
      <c r="O667" s="2057"/>
      <c r="P667" s="1952"/>
      <c r="Q667" s="2025"/>
      <c r="R667" s="2025"/>
      <c r="S667" s="2025"/>
    </row>
    <row r="668" spans="1:19" s="474" customFormat="1" ht="15" hidden="1">
      <c r="A668" s="2050"/>
      <c r="B668" s="2051"/>
      <c r="C668" s="2051"/>
      <c r="D668" s="2051"/>
      <c r="E668" s="2052"/>
      <c r="F668" s="2052"/>
      <c r="G668" s="2065" t="s">
        <v>701</v>
      </c>
      <c r="H668" s="2052"/>
      <c r="I668" s="2052"/>
      <c r="J668" s="2052" t="s">
        <v>931</v>
      </c>
      <c r="K668" s="2055"/>
      <c r="L668" s="2054"/>
      <c r="M668" s="2066">
        <f ca="1">M665+M666+M667</f>
        <v>2623.7160000000003</v>
      </c>
      <c r="N668" s="2056"/>
      <c r="O668" s="2057"/>
      <c r="P668" s="1952"/>
      <c r="Q668" s="2025"/>
      <c r="R668" s="2025"/>
      <c r="S668" s="2025"/>
    </row>
    <row r="669" spans="1:19" s="474" customFormat="1" ht="15" hidden="1">
      <c r="A669" s="2050"/>
      <c r="B669" s="2051"/>
      <c r="C669" s="2051"/>
      <c r="D669" s="2051"/>
      <c r="E669" s="2052"/>
      <c r="F669" s="2052"/>
      <c r="G669" s="2065" t="s">
        <v>574</v>
      </c>
      <c r="H669" s="2052"/>
      <c r="I669" s="2052"/>
      <c r="J669" s="2052" t="str">
        <f ca="1">"(T+GT)*"&amp;'THCP xay dung'!F168*100&amp;"%"</f>
        <v>(T+GT)*6%</v>
      </c>
      <c r="K669" s="2055"/>
      <c r="L669" s="2054"/>
      <c r="M669" s="2066">
        <f ca="1">(M664+M668)*'THCP xay dung'!F168*100%</f>
        <v>1850.1429599999999</v>
      </c>
      <c r="N669" s="2056"/>
      <c r="O669" s="2057"/>
      <c r="P669" s="1952"/>
      <c r="Q669" s="2025"/>
      <c r="R669" s="2025"/>
      <c r="S669" s="2025"/>
    </row>
    <row r="670" spans="1:19" s="474" customFormat="1" ht="15" hidden="1">
      <c r="A670" s="2050"/>
      <c r="B670" s="2051"/>
      <c r="C670" s="2051"/>
      <c r="D670" s="2051"/>
      <c r="E670" s="2052"/>
      <c r="F670" s="2052"/>
      <c r="G670" s="2065" t="s">
        <v>113</v>
      </c>
      <c r="H670" s="2052"/>
      <c r="I670" s="2052"/>
      <c r="J670" s="2052" t="s">
        <v>705</v>
      </c>
      <c r="K670" s="2055"/>
      <c r="L670" s="2054"/>
      <c r="M670" s="2066">
        <f ca="1">M664+M668+M669</f>
        <v>32685.858960000001</v>
      </c>
      <c r="N670" s="2056"/>
      <c r="O670" s="2057"/>
      <c r="P670" s="1952"/>
      <c r="Q670" s="2025"/>
      <c r="R670" s="2025"/>
      <c r="S670" s="2025"/>
    </row>
    <row r="671" spans="1:19" s="474" customFormat="1" ht="15" hidden="1">
      <c r="A671" s="2050"/>
      <c r="B671" s="2051"/>
      <c r="C671" s="2051"/>
      <c r="D671" s="2051"/>
      <c r="E671" s="2052"/>
      <c r="F671" s="2052"/>
      <c r="G671" s="2065" t="s">
        <v>575</v>
      </c>
      <c r="H671" s="2052"/>
      <c r="I671" s="2052"/>
      <c r="J671" s="2052" t="str">
        <f>"G*"&amp;'THCP xay dung'!F170*100&amp;"%"</f>
        <v>G*10%</v>
      </c>
      <c r="K671" s="2055"/>
      <c r="L671" s="2054"/>
      <c r="M671" s="2066">
        <f ca="1">M670*'THCP xay dung'!F170*100%</f>
        <v>3268.5858960000005</v>
      </c>
      <c r="N671" s="2056"/>
      <c r="O671" s="2057"/>
      <c r="P671" s="1952"/>
      <c r="Q671" s="2025"/>
      <c r="R671" s="2025"/>
      <c r="S671" s="2025"/>
    </row>
    <row r="672" spans="1:19" s="474" customFormat="1" ht="15" hidden="1">
      <c r="A672" s="2050"/>
      <c r="B672" s="2051"/>
      <c r="C672" s="2051"/>
      <c r="D672" s="2051"/>
      <c r="E672" s="2052"/>
      <c r="F672" s="2052"/>
      <c r="G672" s="2065" t="s">
        <v>117</v>
      </c>
      <c r="H672" s="2052"/>
      <c r="I672" s="2052"/>
      <c r="J672" s="2052" t="s">
        <v>596</v>
      </c>
      <c r="K672" s="2055"/>
      <c r="L672" s="2054"/>
      <c r="M672" s="2066">
        <f ca="1">M670+M671</f>
        <v>35954.444856000002</v>
      </c>
      <c r="N672" s="2056"/>
      <c r="O672" s="2057"/>
      <c r="P672" s="1952"/>
      <c r="Q672" s="2025"/>
      <c r="R672" s="2025"/>
      <c r="S672" s="2025"/>
    </row>
    <row r="673" spans="1:19" s="474" customFormat="1" ht="15" hidden="1">
      <c r="A673" s="2050"/>
      <c r="B673" s="2051"/>
      <c r="C673" s="2051"/>
      <c r="D673" s="2051"/>
      <c r="E673" s="2052"/>
      <c r="F673" s="2052"/>
      <c r="G673" s="2065" t="s">
        <v>168</v>
      </c>
      <c r="H673" s="2052"/>
      <c r="I673" s="2052"/>
      <c r="J673" s="2052" t="str">
        <f ca="1">"GXD*"&amp;'THCP xay dung'!F172*100&amp;"%"</f>
        <v>GXD*6%</v>
      </c>
      <c r="K673" s="2055"/>
      <c r="L673" s="2054"/>
      <c r="M673" s="2066">
        <f ca="1">M672*'THCP xay dung'!F172*100%</f>
        <v>2157.2666913600001</v>
      </c>
      <c r="N673" s="2056"/>
      <c r="O673" s="2057"/>
      <c r="P673" s="1952"/>
      <c r="Q673" s="2025"/>
      <c r="R673" s="2025"/>
      <c r="S673" s="2025"/>
    </row>
    <row r="674" spans="1:19" s="474" customFormat="1" ht="15" hidden="1">
      <c r="A674" s="2090" t="s">
        <v>304</v>
      </c>
      <c r="B674" s="2091"/>
      <c r="C674" s="2091"/>
      <c r="D674" s="2091"/>
      <c r="E674" s="2092"/>
      <c r="F674" s="2092"/>
      <c r="G674" s="2075" t="s">
        <v>1837</v>
      </c>
      <c r="H674" s="2060"/>
      <c r="I674" s="2060"/>
      <c r="J674" s="2060" t="s">
        <v>1636</v>
      </c>
      <c r="K674" s="2062"/>
      <c r="L674" s="2061"/>
      <c r="M674" s="2074">
        <f ca="1">M672+M673</f>
        <v>38111.711547359999</v>
      </c>
      <c r="N674" s="2063"/>
      <c r="O674" s="2064"/>
      <c r="P674" s="1952"/>
      <c r="Q674" s="2025"/>
      <c r="R674" s="2025"/>
      <c r="S674" s="2025"/>
    </row>
    <row r="675" spans="1:19" s="474" customFormat="1" ht="45">
      <c r="A675" s="2093">
        <v>94</v>
      </c>
      <c r="B675" s="2094">
        <f>'Du toan XD'!B267</f>
        <v>8</v>
      </c>
      <c r="C675" s="2094" t="s">
        <v>2036</v>
      </c>
      <c r="D675" s="2094" t="s">
        <v>2037</v>
      </c>
      <c r="E675" s="2093" t="s">
        <v>2038</v>
      </c>
      <c r="F675" s="2093"/>
      <c r="G675" s="2114" t="str">
        <f>'Du toan XD'!F267</f>
        <v>Lát nền, sàn gạch tiết diện ≤ 0,09 m2, vữa XM PCB30 mác 50</v>
      </c>
      <c r="H675" s="2093" t="str">
        <f>'Du toan XD'!G267</f>
        <v>m²</v>
      </c>
      <c r="I675" s="2093">
        <f>'Du toan XD'!H267</f>
        <v>89.170399999999987</v>
      </c>
      <c r="J675" s="2095"/>
      <c r="K675" s="2096"/>
      <c r="L675" s="2097"/>
      <c r="M675" s="2096"/>
      <c r="N675" s="2098"/>
      <c r="O675" s="2098"/>
      <c r="P675" s="1952">
        <f>M676</f>
        <v>159401</v>
      </c>
      <c r="Q675" s="2025"/>
      <c r="R675" s="2025">
        <f>M684</f>
        <v>42167</v>
      </c>
      <c r="S675" s="2025">
        <f>M686</f>
        <v>837</v>
      </c>
    </row>
    <row r="676" spans="1:19" s="474" customFormat="1" ht="15">
      <c r="A676" s="2099"/>
      <c r="B676" s="2100"/>
      <c r="C676" s="2100"/>
      <c r="D676" s="2100"/>
      <c r="E676" s="2099"/>
      <c r="F676" s="2099"/>
      <c r="G676" s="2116" t="s">
        <v>224</v>
      </c>
      <c r="H676" s="2116"/>
      <c r="I676" s="2116"/>
      <c r="J676" s="2120"/>
      <c r="K676" s="2118"/>
      <c r="L676" s="2119"/>
      <c r="M676" s="2118">
        <f>ROUND(SUM(M677:M683),Config!C103)</f>
        <v>159401</v>
      </c>
      <c r="N676" s="2106"/>
      <c r="O676" s="2106"/>
      <c r="P676" s="1952"/>
      <c r="Q676" s="2025"/>
      <c r="R676" s="2025"/>
      <c r="S676" s="2025"/>
    </row>
    <row r="677" spans="1:19" s="474" customFormat="1" ht="15">
      <c r="A677" s="2099"/>
      <c r="B677" s="2100"/>
      <c r="C677" s="2100" t="s">
        <v>2036</v>
      </c>
      <c r="D677" s="2100"/>
      <c r="E677" s="2099"/>
      <c r="F677" s="2099" t="s">
        <v>1854</v>
      </c>
      <c r="G677" s="2115" t="s">
        <v>1855</v>
      </c>
      <c r="H677" s="2099" t="s">
        <v>1856</v>
      </c>
      <c r="I677" s="2099"/>
      <c r="J677" s="2102">
        <f>246*0.025</f>
        <v>6.15</v>
      </c>
      <c r="K677" s="2171">
        <f>'TH vat tu XD'!G138</f>
        <v>1280</v>
      </c>
      <c r="L677" s="2104"/>
      <c r="M677" s="2103">
        <f t="shared" ref="M677:M682" si="0">IF(L677=0,J677*K677,J677*K677*L677)</f>
        <v>7872</v>
      </c>
      <c r="N677" s="2106">
        <f>IF(L677=0,I675*J677,I675*J677*L677)</f>
        <v>548.3979599999999</v>
      </c>
      <c r="O677" s="2106">
        <f>J683%*N677</f>
        <v>2.7419897999999994</v>
      </c>
      <c r="P677" s="1952"/>
      <c r="Q677" s="2025"/>
      <c r="R677" s="2025"/>
      <c r="S677" s="2025"/>
    </row>
    <row r="678" spans="1:19" s="474" customFormat="1" ht="15">
      <c r="A678" s="2099"/>
      <c r="B678" s="2100"/>
      <c r="C678" s="2100" t="s">
        <v>2036</v>
      </c>
      <c r="D678" s="2100"/>
      <c r="E678" s="2099"/>
      <c r="F678" s="2099" t="s">
        <v>1935</v>
      </c>
      <c r="G678" s="2115" t="s">
        <v>1936</v>
      </c>
      <c r="H678" s="2099" t="s">
        <v>1848</v>
      </c>
      <c r="I678" s="2099"/>
      <c r="J678" s="2102">
        <f>1.201*0.025</f>
        <v>3.0025000000000003E-2</v>
      </c>
      <c r="K678" s="2171">
        <f>'TH vat tu XD'!G130</f>
        <v>85000</v>
      </c>
      <c r="L678" s="2104"/>
      <c r="M678" s="2103">
        <f t="shared" si="0"/>
        <v>2552.1250000000005</v>
      </c>
      <c r="N678" s="2106">
        <f>IF(L678=0,I675*J678,I675*J678*L678)</f>
        <v>2.6773412599999999</v>
      </c>
      <c r="O678" s="2106">
        <f>J683%*N678</f>
        <v>1.33867063E-2</v>
      </c>
      <c r="P678" s="1952"/>
      <c r="Q678" s="2025"/>
      <c r="R678" s="2025"/>
      <c r="S678" s="2025"/>
    </row>
    <row r="679" spans="1:19" s="474" customFormat="1" ht="15">
      <c r="A679" s="2099"/>
      <c r="B679" s="2100"/>
      <c r="C679" s="2100" t="s">
        <v>2036</v>
      </c>
      <c r="D679" s="2100"/>
      <c r="E679" s="2099"/>
      <c r="F679" s="2099" t="s">
        <v>1859</v>
      </c>
      <c r="G679" s="2115" t="s">
        <v>1860</v>
      </c>
      <c r="H679" s="2099" t="s">
        <v>1861</v>
      </c>
      <c r="I679" s="2099"/>
      <c r="J679" s="2102">
        <f>276*0.025</f>
        <v>6.9</v>
      </c>
      <c r="K679" s="2171">
        <f>'TH vat tu XD'!G133</f>
        <v>8</v>
      </c>
      <c r="L679" s="2104"/>
      <c r="M679" s="2103">
        <f t="shared" si="0"/>
        <v>55.2</v>
      </c>
      <c r="N679" s="2106">
        <f>IF(L679=0,I675*J679,I675*J679*L679)</f>
        <v>615.27575999999999</v>
      </c>
      <c r="O679" s="2106">
        <f>J683%*N679</f>
        <v>3.0763788000000001</v>
      </c>
      <c r="P679" s="1952"/>
      <c r="Q679" s="2025"/>
      <c r="R679" s="2025"/>
      <c r="S679" s="2025"/>
    </row>
    <row r="680" spans="1:19" s="474" customFormat="1" ht="15">
      <c r="A680" s="2099"/>
      <c r="B680" s="2100"/>
      <c r="C680" s="2100"/>
      <c r="D680" s="2100"/>
      <c r="E680" s="2099"/>
      <c r="F680" s="2099" t="s">
        <v>2040</v>
      </c>
      <c r="G680" s="2115" t="s">
        <v>2041</v>
      </c>
      <c r="H680" s="2099" t="s">
        <v>1961</v>
      </c>
      <c r="I680" s="2099"/>
      <c r="J680" s="2102">
        <v>1.01</v>
      </c>
      <c r="K680" s="2171">
        <f>'TH vat tu XD'!G132</f>
        <v>145000</v>
      </c>
      <c r="L680" s="2104"/>
      <c r="M680" s="2103">
        <f t="shared" si="0"/>
        <v>146450</v>
      </c>
      <c r="N680" s="2106">
        <f>IF(L680=0,I675*J680,I675*J680*L680)</f>
        <v>90.062103999999991</v>
      </c>
      <c r="O680" s="2106">
        <f>J683%*N680</f>
        <v>0.45031051999999994</v>
      </c>
      <c r="P680" s="1952"/>
      <c r="Q680" s="2025"/>
      <c r="R680" s="2025"/>
      <c r="S680" s="2025"/>
    </row>
    <row r="681" spans="1:19" s="474" customFormat="1" ht="15">
      <c r="A681" s="2099"/>
      <c r="B681" s="2100"/>
      <c r="C681" s="2100"/>
      <c r="D681" s="2100"/>
      <c r="E681" s="2099"/>
      <c r="F681" s="2099" t="s">
        <v>1854</v>
      </c>
      <c r="G681" s="2115" t="s">
        <v>1855</v>
      </c>
      <c r="H681" s="2099" t="s">
        <v>1856</v>
      </c>
      <c r="I681" s="2099"/>
      <c r="J681" s="2102">
        <v>0.8</v>
      </c>
      <c r="K681" s="2171">
        <f>'TH vat tu XD'!G138</f>
        <v>1280</v>
      </c>
      <c r="L681" s="2104"/>
      <c r="M681" s="2103">
        <f t="shared" si="0"/>
        <v>1024</v>
      </c>
      <c r="N681" s="2106">
        <f>IF(L681=0,I675*J681,I675*J681*L681)</f>
        <v>71.336319999999986</v>
      </c>
      <c r="O681" s="2106">
        <f>J683%*N681</f>
        <v>0.35668159999999993</v>
      </c>
      <c r="P681" s="1952"/>
      <c r="Q681" s="2025"/>
      <c r="R681" s="2025"/>
      <c r="S681" s="2025"/>
    </row>
    <row r="682" spans="1:19" s="474" customFormat="1" ht="15">
      <c r="A682" s="2099"/>
      <c r="B682" s="2100"/>
      <c r="C682" s="2100"/>
      <c r="D682" s="2100"/>
      <c r="E682" s="2099"/>
      <c r="F682" s="2099" t="s">
        <v>2042</v>
      </c>
      <c r="G682" s="2115" t="s">
        <v>2043</v>
      </c>
      <c r="H682" s="2099" t="s">
        <v>1856</v>
      </c>
      <c r="I682" s="2099"/>
      <c r="J682" s="2102">
        <v>0.16</v>
      </c>
      <c r="K682" s="2171">
        <f>'TH vat tu XD'!G140</f>
        <v>4091</v>
      </c>
      <c r="L682" s="2104"/>
      <c r="M682" s="2103">
        <f t="shared" si="0"/>
        <v>654.56000000000006</v>
      </c>
      <c r="N682" s="2106">
        <f>IF(L682=0,I675*J682,I675*J682*L682)</f>
        <v>14.267263999999997</v>
      </c>
      <c r="O682" s="2106">
        <f>J683%*N682</f>
        <v>7.1336319999999995E-2</v>
      </c>
      <c r="P682" s="1952"/>
      <c r="Q682" s="2025"/>
      <c r="R682" s="2025"/>
      <c r="S682" s="2025"/>
    </row>
    <row r="683" spans="1:19" s="474" customFormat="1" ht="15">
      <c r="A683" s="2099"/>
      <c r="B683" s="2100"/>
      <c r="C683" s="2100"/>
      <c r="D683" s="2100"/>
      <c r="E683" s="2099"/>
      <c r="F683" s="2099" t="s">
        <v>1882</v>
      </c>
      <c r="G683" s="2115" t="s">
        <v>226</v>
      </c>
      <c r="H683" s="2099" t="s">
        <v>1850</v>
      </c>
      <c r="I683" s="2099"/>
      <c r="J683" s="2102">
        <v>0.5</v>
      </c>
      <c r="K683" s="2103"/>
      <c r="L683" s="2104"/>
      <c r="M683" s="2103">
        <f>SUM(M677:M682)*J683%</f>
        <v>793.03942500000005</v>
      </c>
      <c r="N683" s="2106"/>
      <c r="O683" s="2106"/>
      <c r="P683" s="1952"/>
      <c r="Q683" s="2025"/>
      <c r="R683" s="2025"/>
      <c r="S683" s="2025"/>
    </row>
    <row r="684" spans="1:19" s="474" customFormat="1" ht="15">
      <c r="A684" s="2099"/>
      <c r="B684" s="2100"/>
      <c r="C684" s="2100"/>
      <c r="D684" s="2100"/>
      <c r="E684" s="2099"/>
      <c r="F684" s="2099"/>
      <c r="G684" s="2116" t="s">
        <v>225</v>
      </c>
      <c r="H684" s="2116"/>
      <c r="I684" s="2116"/>
      <c r="J684" s="2120"/>
      <c r="K684" s="2118"/>
      <c r="L684" s="2119"/>
      <c r="M684" s="2118">
        <f>ROUND(SUM(M685:M685),Config!C103)</f>
        <v>42167</v>
      </c>
      <c r="N684" s="2106"/>
      <c r="O684" s="2106"/>
      <c r="P684" s="1952"/>
      <c r="Q684" s="2025"/>
      <c r="R684" s="2025"/>
      <c r="S684" s="2025"/>
    </row>
    <row r="685" spans="1:19" s="474" customFormat="1" ht="15">
      <c r="A685" s="2099"/>
      <c r="B685" s="2100"/>
      <c r="C685" s="2100"/>
      <c r="D685" s="2100"/>
      <c r="E685" s="2099"/>
      <c r="F685" s="2099" t="s">
        <v>1951</v>
      </c>
      <c r="G685" s="2115" t="s">
        <v>1952</v>
      </c>
      <c r="H685" s="2099" t="s">
        <v>1833</v>
      </c>
      <c r="I685" s="2099"/>
      <c r="J685" s="2102">
        <v>0.17</v>
      </c>
      <c r="K685" s="2171">
        <f>'TH vat tu XD'!G144</f>
        <v>248042.76315789475</v>
      </c>
      <c r="L685" s="2104"/>
      <c r="M685" s="2103">
        <f>IF(L685=0,J685*K685,J685*K685*L685)</f>
        <v>42167.269736842107</v>
      </c>
      <c r="N685" s="2106">
        <f>IF(L685=0,I675*J685,I675*J685*L685)</f>
        <v>15.158967999999998</v>
      </c>
      <c r="O685" s="2106"/>
      <c r="P685" s="1952"/>
      <c r="Q685" s="2025"/>
      <c r="R685" s="2025"/>
      <c r="S685" s="2025"/>
    </row>
    <row r="686" spans="1:19" s="474" customFormat="1" ht="15">
      <c r="A686" s="2099"/>
      <c r="B686" s="2100"/>
      <c r="C686" s="2100"/>
      <c r="D686" s="2100"/>
      <c r="E686" s="2099"/>
      <c r="F686" s="2099"/>
      <c r="G686" s="2116" t="s">
        <v>228</v>
      </c>
      <c r="H686" s="2116"/>
      <c r="I686" s="2116"/>
      <c r="J686" s="2120"/>
      <c r="K686" s="2118"/>
      <c r="L686" s="2119"/>
      <c r="M686" s="2118">
        <f>ROUND(SUM(M687:M687),Config!C103)</f>
        <v>837</v>
      </c>
      <c r="N686" s="2106"/>
      <c r="O686" s="2106"/>
      <c r="P686" s="1952"/>
      <c r="Q686" s="2025"/>
      <c r="R686" s="2025"/>
      <c r="S686" s="2025"/>
    </row>
    <row r="687" spans="1:19" s="474" customFormat="1" ht="15">
      <c r="A687" s="2099"/>
      <c r="B687" s="2100"/>
      <c r="C687" s="2100"/>
      <c r="D687" s="2100"/>
      <c r="E687" s="2099"/>
      <c r="F687" s="2099" t="s">
        <v>2044</v>
      </c>
      <c r="G687" s="2115" t="s">
        <v>2045</v>
      </c>
      <c r="H687" s="2099" t="s">
        <v>1836</v>
      </c>
      <c r="I687" s="2099"/>
      <c r="J687" s="2102">
        <v>0.03</v>
      </c>
      <c r="K687" s="2171">
        <f>'TH vat tu XD'!G146</f>
        <v>27916</v>
      </c>
      <c r="L687" s="2104"/>
      <c r="M687" s="2103">
        <f>IF(L687=0,J687*K687,J687*K687*L687)</f>
        <v>837.48</v>
      </c>
      <c r="N687" s="2106">
        <f>IF(L687=0,I675*J687,I675*J687*L687)</f>
        <v>2.6751119999999995</v>
      </c>
      <c r="O687" s="2106"/>
      <c r="P687" s="1952"/>
      <c r="Q687" s="2025"/>
      <c r="R687" s="2025"/>
      <c r="S687" s="2025"/>
    </row>
    <row r="688" spans="1:19" s="474" customFormat="1" ht="15" hidden="1">
      <c r="A688" s="2099"/>
      <c r="B688" s="2100"/>
      <c r="C688" s="2100"/>
      <c r="D688" s="2100"/>
      <c r="E688" s="2099"/>
      <c r="F688" s="2099"/>
      <c r="G688" s="2101" t="s">
        <v>109</v>
      </c>
      <c r="H688" s="2099"/>
      <c r="I688" s="2099"/>
      <c r="J688" s="2099" t="s">
        <v>333</v>
      </c>
      <c r="K688" s="2103"/>
      <c r="L688" s="2104"/>
      <c r="M688" s="2105">
        <f>M676+M684+M686</f>
        <v>202405</v>
      </c>
      <c r="N688" s="2106"/>
      <c r="O688" s="2106"/>
      <c r="P688" s="1952"/>
      <c r="Q688" s="2025"/>
      <c r="R688" s="2025"/>
      <c r="S688" s="2025"/>
    </row>
    <row r="689" spans="1:19" s="474" customFormat="1" ht="15" hidden="1">
      <c r="A689" s="2099"/>
      <c r="B689" s="2100"/>
      <c r="C689" s="2100"/>
      <c r="D689" s="2100"/>
      <c r="E689" s="2099"/>
      <c r="F689" s="2099"/>
      <c r="G689" s="2101" t="s">
        <v>378</v>
      </c>
      <c r="H689" s="2099"/>
      <c r="I689" s="2099"/>
      <c r="J689" s="2099" t="str">
        <f ca="1">"T*"&amp;'THCP xay dung'!F164*100&amp;"%"</f>
        <v>T*6,2%</v>
      </c>
      <c r="K689" s="2103"/>
      <c r="L689" s="2104"/>
      <c r="M689" s="2105">
        <f ca="1">M688*'THCP xay dung'!F164*100%</f>
        <v>12549.11</v>
      </c>
      <c r="N689" s="2106"/>
      <c r="O689" s="2106"/>
      <c r="P689" s="1952"/>
      <c r="Q689" s="2025"/>
      <c r="R689" s="2025"/>
      <c r="S689" s="2025"/>
    </row>
    <row r="690" spans="1:19" s="474" customFormat="1" ht="28.5" hidden="1">
      <c r="A690" s="2099"/>
      <c r="B690" s="2100"/>
      <c r="C690" s="2100"/>
      <c r="D690" s="2100"/>
      <c r="E690" s="2099"/>
      <c r="F690" s="2099"/>
      <c r="G690" s="2101" t="s">
        <v>702</v>
      </c>
      <c r="H690" s="2099"/>
      <c r="I690" s="2099"/>
      <c r="J690" s="2099" t="str">
        <f>IF('THCP xay dung'!G165&lt;&gt;1,"T*"&amp;'THCP xay dung'!F165*100&amp;"%"&amp;"*"&amp;'THCP xay dung'!G165,"T*"&amp;'THCP xay dung'!F165*100&amp;"%")</f>
        <v>T*1,1%</v>
      </c>
      <c r="K690" s="2103"/>
      <c r="L690" s="2104"/>
      <c r="M690" s="2105">
        <f>IF('THCP xay dung'!G165&lt;&gt;1,M688*'THCP xay dung'!F165*100%*'THCP xay dung'!G165,M688*'THCP xay dung'!F165*100%)</f>
        <v>2226.4550000000004</v>
      </c>
      <c r="N690" s="2106"/>
      <c r="O690" s="2106"/>
      <c r="P690" s="1952"/>
      <c r="Q690" s="2025"/>
      <c r="R690" s="2025"/>
      <c r="S690" s="2025"/>
    </row>
    <row r="691" spans="1:19" s="474" customFormat="1" ht="42.75" hidden="1">
      <c r="A691" s="2099"/>
      <c r="B691" s="2100"/>
      <c r="C691" s="2100"/>
      <c r="D691" s="2100"/>
      <c r="E691" s="2099"/>
      <c r="F691" s="2099"/>
      <c r="G691" s="2101" t="s">
        <v>703</v>
      </c>
      <c r="H691" s="2099"/>
      <c r="I691" s="2099"/>
      <c r="J691" s="2099" t="str">
        <f ca="1">"T*"&amp;'THCP xay dung'!F166*100&amp;"%"</f>
        <v>T*2%</v>
      </c>
      <c r="K691" s="2103"/>
      <c r="L691" s="2104"/>
      <c r="M691" s="2105">
        <f ca="1">M688*'THCP xay dung'!F166*100%</f>
        <v>4048.1</v>
      </c>
      <c r="N691" s="2106"/>
      <c r="O691" s="2106"/>
      <c r="P691" s="1952"/>
      <c r="Q691" s="2025"/>
      <c r="R691" s="2025"/>
      <c r="S691" s="2025"/>
    </row>
    <row r="692" spans="1:19" s="474" customFormat="1" ht="15" hidden="1">
      <c r="A692" s="2099"/>
      <c r="B692" s="2100"/>
      <c r="C692" s="2100"/>
      <c r="D692" s="2100"/>
      <c r="E692" s="2099"/>
      <c r="F692" s="2099"/>
      <c r="G692" s="2101" t="s">
        <v>701</v>
      </c>
      <c r="H692" s="2099"/>
      <c r="I692" s="2099"/>
      <c r="J692" s="2099" t="s">
        <v>931</v>
      </c>
      <c r="K692" s="2103"/>
      <c r="L692" s="2104"/>
      <c r="M692" s="2105">
        <f ca="1">M689+M690+M691</f>
        <v>18823.665000000001</v>
      </c>
      <c r="N692" s="2106"/>
      <c r="O692" s="2106"/>
      <c r="P692" s="1952"/>
      <c r="Q692" s="2025"/>
      <c r="R692" s="2025"/>
      <c r="S692" s="2025"/>
    </row>
    <row r="693" spans="1:19" s="474" customFormat="1" ht="15" hidden="1">
      <c r="A693" s="2099"/>
      <c r="B693" s="2100"/>
      <c r="C693" s="2100"/>
      <c r="D693" s="2100"/>
      <c r="E693" s="2099"/>
      <c r="F693" s="2099"/>
      <c r="G693" s="2101" t="s">
        <v>574</v>
      </c>
      <c r="H693" s="2099"/>
      <c r="I693" s="2099"/>
      <c r="J693" s="2099" t="str">
        <f ca="1">"(T+GT)*"&amp;'THCP xay dung'!F168*100&amp;"%"</f>
        <v>(T+GT)*6%</v>
      </c>
      <c r="K693" s="2103"/>
      <c r="L693" s="2104"/>
      <c r="M693" s="2105">
        <f ca="1">(M688+M692)*'THCP xay dung'!F168*100%</f>
        <v>13273.7199</v>
      </c>
      <c r="N693" s="2106"/>
      <c r="O693" s="2106"/>
      <c r="P693" s="1952"/>
      <c r="Q693" s="2025"/>
      <c r="R693" s="2025"/>
      <c r="S693" s="2025"/>
    </row>
    <row r="694" spans="1:19" s="474" customFormat="1" ht="15" hidden="1">
      <c r="A694" s="2099"/>
      <c r="B694" s="2100"/>
      <c r="C694" s="2100"/>
      <c r="D694" s="2100"/>
      <c r="E694" s="2099"/>
      <c r="F694" s="2099"/>
      <c r="G694" s="2101" t="s">
        <v>113</v>
      </c>
      <c r="H694" s="2099"/>
      <c r="I694" s="2099"/>
      <c r="J694" s="2099" t="s">
        <v>705</v>
      </c>
      <c r="K694" s="2103"/>
      <c r="L694" s="2104"/>
      <c r="M694" s="2105">
        <f ca="1">M688+M692+M693</f>
        <v>234502.3849</v>
      </c>
      <c r="N694" s="2106"/>
      <c r="O694" s="2106"/>
      <c r="P694" s="1952"/>
      <c r="Q694" s="2025"/>
      <c r="R694" s="2025"/>
      <c r="S694" s="2025"/>
    </row>
    <row r="695" spans="1:19" s="474" customFormat="1" ht="15" hidden="1">
      <c r="A695" s="2099"/>
      <c r="B695" s="2100"/>
      <c r="C695" s="2100"/>
      <c r="D695" s="2100"/>
      <c r="E695" s="2099"/>
      <c r="F695" s="2099"/>
      <c r="G695" s="2101" t="s">
        <v>575</v>
      </c>
      <c r="H695" s="2099"/>
      <c r="I695" s="2099"/>
      <c r="J695" s="2099" t="str">
        <f>"G*"&amp;'THCP xay dung'!F170*100&amp;"%"</f>
        <v>G*10%</v>
      </c>
      <c r="K695" s="2103"/>
      <c r="L695" s="2104"/>
      <c r="M695" s="2105">
        <f ca="1">M694*'THCP xay dung'!F170*100%</f>
        <v>23450.238490000003</v>
      </c>
      <c r="N695" s="2106"/>
      <c r="O695" s="2106"/>
      <c r="P695" s="1952"/>
      <c r="Q695" s="2025"/>
      <c r="R695" s="2025"/>
      <c r="S695" s="2025"/>
    </row>
    <row r="696" spans="1:19" s="474" customFormat="1" ht="15" hidden="1">
      <c r="A696" s="2099"/>
      <c r="B696" s="2100"/>
      <c r="C696" s="2100"/>
      <c r="D696" s="2100"/>
      <c r="E696" s="2099"/>
      <c r="F696" s="2099"/>
      <c r="G696" s="2101" t="s">
        <v>117</v>
      </c>
      <c r="H696" s="2099"/>
      <c r="I696" s="2099"/>
      <c r="J696" s="2099" t="s">
        <v>596</v>
      </c>
      <c r="K696" s="2103"/>
      <c r="L696" s="2104"/>
      <c r="M696" s="2105">
        <f ca="1">M694+M695</f>
        <v>257952.62339000002</v>
      </c>
      <c r="N696" s="2106"/>
      <c r="O696" s="2106"/>
      <c r="P696" s="1952"/>
      <c r="Q696" s="2025"/>
      <c r="R696" s="2025"/>
      <c r="S696" s="2025"/>
    </row>
    <row r="697" spans="1:19" s="474" customFormat="1" ht="15" hidden="1">
      <c r="A697" s="2099"/>
      <c r="B697" s="2100"/>
      <c r="C697" s="2100"/>
      <c r="D697" s="2100"/>
      <c r="E697" s="2099"/>
      <c r="F697" s="2099"/>
      <c r="G697" s="2101" t="s">
        <v>168</v>
      </c>
      <c r="H697" s="2099"/>
      <c r="I697" s="2099"/>
      <c r="J697" s="2099" t="str">
        <f ca="1">"GXD*"&amp;'THCP xay dung'!F172*100&amp;"%"</f>
        <v>GXD*6%</v>
      </c>
      <c r="K697" s="2103"/>
      <c r="L697" s="2104"/>
      <c r="M697" s="2105">
        <f ca="1">M696*'THCP xay dung'!F172*100%</f>
        <v>15477.1574034</v>
      </c>
      <c r="N697" s="2106"/>
      <c r="O697" s="2106"/>
      <c r="P697" s="1952"/>
      <c r="Q697" s="2025"/>
      <c r="R697" s="2025"/>
      <c r="S697" s="2025"/>
    </row>
    <row r="698" spans="1:19" s="474" customFormat="1" ht="15" hidden="1">
      <c r="A698" s="2122" t="s">
        <v>304</v>
      </c>
      <c r="B698" s="2123"/>
      <c r="C698" s="2123"/>
      <c r="D698" s="2123"/>
      <c r="E698" s="2122"/>
      <c r="F698" s="2122"/>
      <c r="G698" s="2109" t="s">
        <v>1837</v>
      </c>
      <c r="H698" s="2107"/>
      <c r="I698" s="2107"/>
      <c r="J698" s="2107" t="s">
        <v>1636</v>
      </c>
      <c r="K698" s="2110"/>
      <c r="L698" s="2111"/>
      <c r="M698" s="2112">
        <f ca="1">M696+M697</f>
        <v>273429.78079340002</v>
      </c>
      <c r="N698" s="2113"/>
      <c r="O698" s="2113"/>
      <c r="P698" s="1952"/>
      <c r="Q698" s="2025"/>
      <c r="R698" s="2025"/>
      <c r="S698" s="2025"/>
    </row>
    <row r="699" spans="1:19" s="474" customFormat="1" ht="45">
      <c r="A699" s="2124">
        <v>95</v>
      </c>
      <c r="B699" s="2125">
        <f>'Du toan XD'!B275</f>
        <v>9</v>
      </c>
      <c r="C699" s="2125" t="s">
        <v>2048</v>
      </c>
      <c r="D699" s="2125" t="s">
        <v>1568</v>
      </c>
      <c r="E699" s="2126" t="s">
        <v>2049</v>
      </c>
      <c r="F699" s="2126"/>
      <c r="G699" s="2132" t="str">
        <f>'Du toan XD'!F275</f>
        <v>Lát gạch granít nhân tạo bậc tam cấp, vữa XM PCB30 mác 75</v>
      </c>
      <c r="H699" s="2126" t="str">
        <f>'Du toan XD'!G275</f>
        <v>m²</v>
      </c>
      <c r="I699" s="2126">
        <f>'Du toan XD'!H275</f>
        <v>16.686</v>
      </c>
      <c r="J699" s="2127"/>
      <c r="K699" s="2128"/>
      <c r="L699" s="2129"/>
      <c r="M699" s="2128"/>
      <c r="N699" s="2130"/>
      <c r="O699" s="2131"/>
      <c r="P699" s="1952">
        <f>M700</f>
        <v>126038</v>
      </c>
      <c r="Q699" s="2025"/>
      <c r="R699" s="2025">
        <f>M707</f>
        <v>79374</v>
      </c>
      <c r="S699" s="2025">
        <f>M709</f>
        <v>4187</v>
      </c>
    </row>
    <row r="700" spans="1:19" s="474" customFormat="1" ht="15">
      <c r="A700" s="2050"/>
      <c r="B700" s="2051"/>
      <c r="C700" s="2051"/>
      <c r="D700" s="2051"/>
      <c r="E700" s="2052"/>
      <c r="F700" s="2052"/>
      <c r="G700" s="2067" t="s">
        <v>224</v>
      </c>
      <c r="H700" s="2067"/>
      <c r="I700" s="2067"/>
      <c r="J700" s="2134"/>
      <c r="K700" s="2069"/>
      <c r="L700" s="2070"/>
      <c r="M700" s="2069">
        <f>ROUND(SUM(M701:M706),Config!C103)</f>
        <v>126038</v>
      </c>
      <c r="N700" s="2056"/>
      <c r="O700" s="2057"/>
      <c r="P700" s="1952"/>
      <c r="Q700" s="2025"/>
      <c r="R700" s="2025"/>
      <c r="S700" s="2025"/>
    </row>
    <row r="701" spans="1:19" s="474" customFormat="1" ht="15">
      <c r="A701" s="2050"/>
      <c r="B701" s="2051"/>
      <c r="C701" s="2051" t="s">
        <v>2048</v>
      </c>
      <c r="D701" s="2051"/>
      <c r="E701" s="2052"/>
      <c r="F701" s="2052" t="s">
        <v>1854</v>
      </c>
      <c r="G701" s="2053" t="s">
        <v>1855</v>
      </c>
      <c r="H701" s="2052" t="s">
        <v>1856</v>
      </c>
      <c r="I701" s="2052"/>
      <c r="J701" s="2073">
        <f>338*0.025</f>
        <v>8.4500000000000011</v>
      </c>
      <c r="K701" s="2170">
        <f>'TH vat tu XD'!G138</f>
        <v>1280</v>
      </c>
      <c r="L701" s="2054"/>
      <c r="M701" s="2055">
        <f>IF(L701=0,J701*K701,J701*K701*L701)</f>
        <v>10816.000000000002</v>
      </c>
      <c r="N701" s="2056">
        <f>IF(L701=0,I699*J701,I699*J701*L701)</f>
        <v>140.9967</v>
      </c>
      <c r="O701" s="2057">
        <f>J706%*N701</f>
        <v>2.1149505</v>
      </c>
      <c r="P701" s="1952"/>
      <c r="Q701" s="2025"/>
      <c r="R701" s="2025"/>
      <c r="S701" s="2025"/>
    </row>
    <row r="702" spans="1:19" s="474" customFormat="1" ht="15">
      <c r="A702" s="2050"/>
      <c r="B702" s="2051"/>
      <c r="C702" s="2051" t="s">
        <v>2048</v>
      </c>
      <c r="D702" s="2051"/>
      <c r="E702" s="2052"/>
      <c r="F702" s="2052" t="s">
        <v>1935</v>
      </c>
      <c r="G702" s="2053" t="s">
        <v>1936</v>
      </c>
      <c r="H702" s="2052" t="s">
        <v>1848</v>
      </c>
      <c r="I702" s="2052"/>
      <c r="J702" s="2073">
        <f>1.149*0.025</f>
        <v>2.8725000000000001E-2</v>
      </c>
      <c r="K702" s="2170">
        <f>'TH vat tu XD'!G130</f>
        <v>85000</v>
      </c>
      <c r="L702" s="2054"/>
      <c r="M702" s="2055">
        <f>IF(L702=0,J702*K702,J702*K702*L702)</f>
        <v>2441.625</v>
      </c>
      <c r="N702" s="2056">
        <f>IF(L702=0,I699*J702,I699*J702*L702)</f>
        <v>0.47930535000000002</v>
      </c>
      <c r="O702" s="2057">
        <f>J706%*N702</f>
        <v>7.18958025E-3</v>
      </c>
      <c r="P702" s="1952"/>
      <c r="Q702" s="2025"/>
      <c r="R702" s="2025"/>
      <c r="S702" s="2025"/>
    </row>
    <row r="703" spans="1:19" s="474" customFormat="1" ht="15">
      <c r="A703" s="2050"/>
      <c r="B703" s="2051"/>
      <c r="C703" s="2051" t="s">
        <v>2048</v>
      </c>
      <c r="D703" s="2051"/>
      <c r="E703" s="2052"/>
      <c r="F703" s="2052" t="s">
        <v>1859</v>
      </c>
      <c r="G703" s="2053" t="s">
        <v>1860</v>
      </c>
      <c r="H703" s="2052" t="s">
        <v>1861</v>
      </c>
      <c r="I703" s="2052"/>
      <c r="J703" s="2073">
        <f>272*0.025</f>
        <v>6.8000000000000007</v>
      </c>
      <c r="K703" s="2170">
        <f>'TH vat tu XD'!G133</f>
        <v>8</v>
      </c>
      <c r="L703" s="2054"/>
      <c r="M703" s="2055">
        <f>IF(L703=0,J703*K703,J703*K703*L703)</f>
        <v>54.400000000000006</v>
      </c>
      <c r="N703" s="2056">
        <f>IF(L703=0,I699*J703,I699*J703*L703)</f>
        <v>113.46480000000001</v>
      </c>
      <c r="O703" s="2057">
        <f>J706%*N703</f>
        <v>1.701972</v>
      </c>
      <c r="P703" s="1952"/>
      <c r="Q703" s="2025"/>
      <c r="R703" s="2025"/>
      <c r="S703" s="2025"/>
    </row>
    <row r="704" spans="1:19" s="474" customFormat="1" ht="15">
      <c r="A704" s="2050"/>
      <c r="B704" s="2051"/>
      <c r="C704" s="2051"/>
      <c r="D704" s="2051"/>
      <c r="E704" s="2052"/>
      <c r="F704" s="2052" t="s">
        <v>2051</v>
      </c>
      <c r="G704" s="2053" t="s">
        <v>2052</v>
      </c>
      <c r="H704" s="2052" t="s">
        <v>1961</v>
      </c>
      <c r="I704" s="2052"/>
      <c r="J704" s="2073">
        <v>1.05</v>
      </c>
      <c r="K704" s="2170">
        <f>'TH vat tu XD'!G131</f>
        <v>105000</v>
      </c>
      <c r="L704" s="2054"/>
      <c r="M704" s="2055">
        <f>IF(L704=0,J704*K704,J704*K704*L704)</f>
        <v>110250</v>
      </c>
      <c r="N704" s="2056">
        <f>IF(L704=0,I699*J704,I699*J704*L704)</f>
        <v>17.520300000000002</v>
      </c>
      <c r="O704" s="2057">
        <f>J706%*N704</f>
        <v>0.26280450000000005</v>
      </c>
      <c r="P704" s="1952"/>
      <c r="Q704" s="2025"/>
      <c r="R704" s="2025"/>
      <c r="S704" s="2025"/>
    </row>
    <row r="705" spans="1:19" s="474" customFormat="1" ht="15">
      <c r="A705" s="2050"/>
      <c r="B705" s="2051"/>
      <c r="C705" s="2051"/>
      <c r="D705" s="2051"/>
      <c r="E705" s="2052"/>
      <c r="F705" s="2052" t="s">
        <v>2042</v>
      </c>
      <c r="G705" s="2053" t="s">
        <v>2043</v>
      </c>
      <c r="H705" s="2052" t="s">
        <v>1856</v>
      </c>
      <c r="I705" s="2052"/>
      <c r="J705" s="2073">
        <v>0.15</v>
      </c>
      <c r="K705" s="2170">
        <f>'TH vat tu XD'!G140</f>
        <v>4091</v>
      </c>
      <c r="L705" s="2054"/>
      <c r="M705" s="2055">
        <f>IF(L705=0,J705*K705,J705*K705*L705)</f>
        <v>613.65</v>
      </c>
      <c r="N705" s="2056">
        <f>IF(L705=0,I699*J705,I699*J705*L705)</f>
        <v>2.5028999999999999</v>
      </c>
      <c r="O705" s="2057">
        <f>J706%*N705</f>
        <v>3.75435E-2</v>
      </c>
      <c r="P705" s="1952"/>
      <c r="Q705" s="2025"/>
      <c r="R705" s="2025"/>
      <c r="S705" s="2025"/>
    </row>
    <row r="706" spans="1:19" s="474" customFormat="1" ht="15">
      <c r="A706" s="2050"/>
      <c r="B706" s="2051"/>
      <c r="C706" s="2051"/>
      <c r="D706" s="2051"/>
      <c r="E706" s="2052"/>
      <c r="F706" s="2052" t="s">
        <v>1882</v>
      </c>
      <c r="G706" s="2053" t="s">
        <v>226</v>
      </c>
      <c r="H706" s="2052" t="s">
        <v>1850</v>
      </c>
      <c r="I706" s="2052"/>
      <c r="J706" s="2073">
        <v>1.5</v>
      </c>
      <c r="K706" s="2055"/>
      <c r="L706" s="2054"/>
      <c r="M706" s="2055">
        <f>SUM(M701:M705)*J706%</f>
        <v>1862.6351249999998</v>
      </c>
      <c r="N706" s="2056"/>
      <c r="O706" s="2057"/>
      <c r="P706" s="1952"/>
      <c r="Q706" s="2025"/>
      <c r="R706" s="2025"/>
      <c r="S706" s="2025"/>
    </row>
    <row r="707" spans="1:19" s="474" customFormat="1" ht="15">
      <c r="A707" s="2050"/>
      <c r="B707" s="2051"/>
      <c r="C707" s="2051"/>
      <c r="D707" s="2051"/>
      <c r="E707" s="2052"/>
      <c r="F707" s="2052"/>
      <c r="G707" s="2067" t="s">
        <v>225</v>
      </c>
      <c r="H707" s="2067"/>
      <c r="I707" s="2067"/>
      <c r="J707" s="2134"/>
      <c r="K707" s="2069"/>
      <c r="L707" s="2070"/>
      <c r="M707" s="2069">
        <f>ROUND(SUM(M708:M708),Config!C103)</f>
        <v>79374</v>
      </c>
      <c r="N707" s="2056"/>
      <c r="O707" s="2057"/>
      <c r="P707" s="1952"/>
      <c r="Q707" s="2025"/>
      <c r="R707" s="2025"/>
      <c r="S707" s="2025"/>
    </row>
    <row r="708" spans="1:19" s="474" customFormat="1" ht="15">
      <c r="A708" s="2050"/>
      <c r="B708" s="2051"/>
      <c r="C708" s="2051"/>
      <c r="D708" s="2051"/>
      <c r="E708" s="2052"/>
      <c r="F708" s="2052" t="s">
        <v>1951</v>
      </c>
      <c r="G708" s="2053" t="s">
        <v>1952</v>
      </c>
      <c r="H708" s="2052" t="s">
        <v>1833</v>
      </c>
      <c r="I708" s="2052"/>
      <c r="J708" s="2073">
        <v>0.32</v>
      </c>
      <c r="K708" s="2170">
        <f>'TH vat tu XD'!G144</f>
        <v>248042.76315789475</v>
      </c>
      <c r="L708" s="2054"/>
      <c r="M708" s="2055">
        <f>IF(L708=0,J708*K708,J708*K708*L708)</f>
        <v>79373.68421052632</v>
      </c>
      <c r="N708" s="2056">
        <f>IF(L708=0,I699*J708,I699*J708*L708)</f>
        <v>5.3395200000000003</v>
      </c>
      <c r="O708" s="2057"/>
      <c r="P708" s="1952"/>
      <c r="Q708" s="2025"/>
      <c r="R708" s="2025"/>
      <c r="S708" s="2025"/>
    </row>
    <row r="709" spans="1:19" s="474" customFormat="1" ht="15">
      <c r="A709" s="2050"/>
      <c r="B709" s="2051"/>
      <c r="C709" s="2051"/>
      <c r="D709" s="2051"/>
      <c r="E709" s="2052"/>
      <c r="F709" s="2052"/>
      <c r="G709" s="2067" t="s">
        <v>228</v>
      </c>
      <c r="H709" s="2067"/>
      <c r="I709" s="2067"/>
      <c r="J709" s="2134"/>
      <c r="K709" s="2069"/>
      <c r="L709" s="2070"/>
      <c r="M709" s="2069">
        <f>ROUND(SUM(M710:M710),Config!C103)</f>
        <v>4187</v>
      </c>
      <c r="N709" s="2056"/>
      <c r="O709" s="2057"/>
      <c r="P709" s="1952"/>
      <c r="Q709" s="2025"/>
      <c r="R709" s="2025"/>
      <c r="S709" s="2025"/>
    </row>
    <row r="710" spans="1:19" s="474" customFormat="1" ht="15">
      <c r="A710" s="2050"/>
      <c r="B710" s="2051"/>
      <c r="C710" s="2051"/>
      <c r="D710" s="2051"/>
      <c r="E710" s="2052"/>
      <c r="F710" s="2052" t="s">
        <v>2044</v>
      </c>
      <c r="G710" s="2053" t="s">
        <v>2045</v>
      </c>
      <c r="H710" s="2052" t="s">
        <v>1836</v>
      </c>
      <c r="I710" s="2052"/>
      <c r="J710" s="2073">
        <v>0.15</v>
      </c>
      <c r="K710" s="2170">
        <f>'TH vat tu XD'!G146</f>
        <v>27916</v>
      </c>
      <c r="L710" s="2054"/>
      <c r="M710" s="2055">
        <f>IF(L710=0,J710*K710,J710*K710*L710)</f>
        <v>4187.3999999999996</v>
      </c>
      <c r="N710" s="2056">
        <f>IF(L710=0,I699*J710,I699*J710*L710)</f>
        <v>2.5028999999999999</v>
      </c>
      <c r="O710" s="2057"/>
      <c r="P710" s="1952"/>
      <c r="Q710" s="2025"/>
      <c r="R710" s="2025"/>
      <c r="S710" s="2025"/>
    </row>
    <row r="711" spans="1:19" s="474" customFormat="1" ht="15" hidden="1">
      <c r="A711" s="2050"/>
      <c r="B711" s="2051"/>
      <c r="C711" s="2051"/>
      <c r="D711" s="2051"/>
      <c r="E711" s="2052"/>
      <c r="F711" s="2052"/>
      <c r="G711" s="2065" t="s">
        <v>109</v>
      </c>
      <c r="H711" s="2052"/>
      <c r="I711" s="2052"/>
      <c r="J711" s="2052" t="s">
        <v>333</v>
      </c>
      <c r="K711" s="2055"/>
      <c r="L711" s="2054"/>
      <c r="M711" s="2066">
        <f>M700+M707+M709</f>
        <v>209599</v>
      </c>
      <c r="N711" s="2056"/>
      <c r="O711" s="2057"/>
      <c r="P711" s="1952"/>
      <c r="Q711" s="2025"/>
      <c r="R711" s="2025"/>
      <c r="S711" s="2025"/>
    </row>
    <row r="712" spans="1:19" s="474" customFormat="1" ht="15" hidden="1">
      <c r="A712" s="2050"/>
      <c r="B712" s="2051"/>
      <c r="C712" s="2051"/>
      <c r="D712" s="2051"/>
      <c r="E712" s="2052"/>
      <c r="F712" s="2052"/>
      <c r="G712" s="2065" t="s">
        <v>378</v>
      </c>
      <c r="H712" s="2052"/>
      <c r="I712" s="2052"/>
      <c r="J712" s="2052" t="str">
        <f ca="1">"T*"&amp;'THCP xay dung'!F164*100&amp;"%"</f>
        <v>T*6,2%</v>
      </c>
      <c r="K712" s="2055"/>
      <c r="L712" s="2054"/>
      <c r="M712" s="2066">
        <f ca="1">M711*'THCP xay dung'!F164*100%</f>
        <v>12995.137999999999</v>
      </c>
      <c r="N712" s="2056"/>
      <c r="O712" s="2057"/>
      <c r="P712" s="1952"/>
      <c r="Q712" s="2025"/>
      <c r="R712" s="2025"/>
      <c r="S712" s="2025"/>
    </row>
    <row r="713" spans="1:19" s="474" customFormat="1" ht="28.5" hidden="1">
      <c r="A713" s="2050"/>
      <c r="B713" s="2051"/>
      <c r="C713" s="2051"/>
      <c r="D713" s="2051"/>
      <c r="E713" s="2052"/>
      <c r="F713" s="2052"/>
      <c r="G713" s="2065" t="s">
        <v>702</v>
      </c>
      <c r="H713" s="2052"/>
      <c r="I713" s="2052"/>
      <c r="J713" s="2052" t="str">
        <f>IF('THCP xay dung'!G165&lt;&gt;1,"T*"&amp;'THCP xay dung'!F165*100&amp;"%"&amp;"*"&amp;'THCP xay dung'!G165,"T*"&amp;'THCP xay dung'!F165*100&amp;"%")</f>
        <v>T*1,1%</v>
      </c>
      <c r="K713" s="2055"/>
      <c r="L713" s="2054"/>
      <c r="M713" s="2066">
        <f>IF('THCP xay dung'!G165&lt;&gt;1,M711*'THCP xay dung'!F165*100%*'THCP xay dung'!G165,M711*'THCP xay dung'!F165*100%)</f>
        <v>2305.5890000000004</v>
      </c>
      <c r="N713" s="2056"/>
      <c r="O713" s="2057"/>
      <c r="P713" s="1952"/>
      <c r="Q713" s="2025"/>
      <c r="R713" s="2025"/>
      <c r="S713" s="2025"/>
    </row>
    <row r="714" spans="1:19" s="474" customFormat="1" ht="42.75" hidden="1">
      <c r="A714" s="2050"/>
      <c r="B714" s="2051"/>
      <c r="C714" s="2051"/>
      <c r="D714" s="2051"/>
      <c r="E714" s="2052"/>
      <c r="F714" s="2052"/>
      <c r="G714" s="2065" t="s">
        <v>703</v>
      </c>
      <c r="H714" s="2052"/>
      <c r="I714" s="2052"/>
      <c r="J714" s="2052" t="str">
        <f ca="1">"T*"&amp;'THCP xay dung'!F166*100&amp;"%"</f>
        <v>T*2%</v>
      </c>
      <c r="K714" s="2055"/>
      <c r="L714" s="2054"/>
      <c r="M714" s="2066">
        <f ca="1">M711*'THCP xay dung'!F166*100%</f>
        <v>4191.9800000000005</v>
      </c>
      <c r="N714" s="2056"/>
      <c r="O714" s="2057"/>
      <c r="P714" s="1952"/>
      <c r="Q714" s="2025"/>
      <c r="R714" s="2025"/>
      <c r="S714" s="2025"/>
    </row>
    <row r="715" spans="1:19" s="474" customFormat="1" ht="15" hidden="1">
      <c r="A715" s="2050"/>
      <c r="B715" s="2051"/>
      <c r="C715" s="2051"/>
      <c r="D715" s="2051"/>
      <c r="E715" s="2052"/>
      <c r="F715" s="2052"/>
      <c r="G715" s="2065" t="s">
        <v>701</v>
      </c>
      <c r="H715" s="2052"/>
      <c r="I715" s="2052"/>
      <c r="J715" s="2052" t="s">
        <v>931</v>
      </c>
      <c r="K715" s="2055"/>
      <c r="L715" s="2054"/>
      <c r="M715" s="2066">
        <f ca="1">M712+M713+M714</f>
        <v>19492.706999999999</v>
      </c>
      <c r="N715" s="2056"/>
      <c r="O715" s="2057"/>
      <c r="P715" s="1952"/>
      <c r="Q715" s="2025"/>
      <c r="R715" s="2025"/>
      <c r="S715" s="2025"/>
    </row>
    <row r="716" spans="1:19" s="474" customFormat="1" ht="15" hidden="1">
      <c r="A716" s="2050"/>
      <c r="B716" s="2051"/>
      <c r="C716" s="2051"/>
      <c r="D716" s="2051"/>
      <c r="E716" s="2052"/>
      <c r="F716" s="2052"/>
      <c r="G716" s="2065" t="s">
        <v>574</v>
      </c>
      <c r="H716" s="2052"/>
      <c r="I716" s="2052"/>
      <c r="J716" s="2052" t="str">
        <f ca="1">"(T+GT)*"&amp;'THCP xay dung'!F168*100&amp;"%"</f>
        <v>(T+GT)*6%</v>
      </c>
      <c r="K716" s="2055"/>
      <c r="L716" s="2054"/>
      <c r="M716" s="2066">
        <f ca="1">(M711+M715)*'THCP xay dung'!F168*100%</f>
        <v>13745.502419999999</v>
      </c>
      <c r="N716" s="2056"/>
      <c r="O716" s="2057"/>
      <c r="P716" s="1952"/>
      <c r="Q716" s="2025"/>
      <c r="R716" s="2025"/>
      <c r="S716" s="2025"/>
    </row>
    <row r="717" spans="1:19" s="474" customFormat="1" ht="15" hidden="1">
      <c r="A717" s="2050"/>
      <c r="B717" s="2051"/>
      <c r="C717" s="2051"/>
      <c r="D717" s="2051"/>
      <c r="E717" s="2052"/>
      <c r="F717" s="2052"/>
      <c r="G717" s="2065" t="s">
        <v>113</v>
      </c>
      <c r="H717" s="2052"/>
      <c r="I717" s="2052"/>
      <c r="J717" s="2052" t="s">
        <v>705</v>
      </c>
      <c r="K717" s="2055"/>
      <c r="L717" s="2054"/>
      <c r="M717" s="2066">
        <f ca="1">M711+M715+M716</f>
        <v>242837.20942</v>
      </c>
      <c r="N717" s="2056"/>
      <c r="O717" s="2057"/>
      <c r="P717" s="1952"/>
      <c r="Q717" s="2025"/>
      <c r="R717" s="2025"/>
      <c r="S717" s="2025"/>
    </row>
    <row r="718" spans="1:19" s="474" customFormat="1" ht="15" hidden="1">
      <c r="A718" s="2050"/>
      <c r="B718" s="2051"/>
      <c r="C718" s="2051"/>
      <c r="D718" s="2051"/>
      <c r="E718" s="2052"/>
      <c r="F718" s="2052"/>
      <c r="G718" s="2065" t="s">
        <v>575</v>
      </c>
      <c r="H718" s="2052"/>
      <c r="I718" s="2052"/>
      <c r="J718" s="2052" t="str">
        <f>"G*"&amp;'THCP xay dung'!F170*100&amp;"%"</f>
        <v>G*10%</v>
      </c>
      <c r="K718" s="2055"/>
      <c r="L718" s="2054"/>
      <c r="M718" s="2066">
        <f ca="1">M717*'THCP xay dung'!F170*100%</f>
        <v>24283.720942</v>
      </c>
      <c r="N718" s="2056"/>
      <c r="O718" s="2057"/>
      <c r="P718" s="1952"/>
      <c r="Q718" s="2025"/>
      <c r="R718" s="2025"/>
      <c r="S718" s="2025"/>
    </row>
    <row r="719" spans="1:19" s="474" customFormat="1" ht="15" hidden="1">
      <c r="A719" s="2050"/>
      <c r="B719" s="2051"/>
      <c r="C719" s="2051"/>
      <c r="D719" s="2051"/>
      <c r="E719" s="2052"/>
      <c r="F719" s="2052"/>
      <c r="G719" s="2065" t="s">
        <v>117</v>
      </c>
      <c r="H719" s="2052"/>
      <c r="I719" s="2052"/>
      <c r="J719" s="2052" t="s">
        <v>596</v>
      </c>
      <c r="K719" s="2055"/>
      <c r="L719" s="2054"/>
      <c r="M719" s="2066">
        <f ca="1">M717+M718</f>
        <v>267120.93036200001</v>
      </c>
      <c r="N719" s="2056"/>
      <c r="O719" s="2057"/>
      <c r="P719" s="1952"/>
      <c r="Q719" s="2025"/>
      <c r="R719" s="2025"/>
      <c r="S719" s="2025"/>
    </row>
    <row r="720" spans="1:19" s="474" customFormat="1" ht="15" hidden="1">
      <c r="A720" s="2050"/>
      <c r="B720" s="2051"/>
      <c r="C720" s="2051"/>
      <c r="D720" s="2051"/>
      <c r="E720" s="2052"/>
      <c r="F720" s="2052"/>
      <c r="G720" s="2065" t="s">
        <v>168</v>
      </c>
      <c r="H720" s="2052"/>
      <c r="I720" s="2052"/>
      <c r="J720" s="2052" t="str">
        <f ca="1">"GXD*"&amp;'THCP xay dung'!F172*100&amp;"%"</f>
        <v>GXD*6%</v>
      </c>
      <c r="K720" s="2055"/>
      <c r="L720" s="2054"/>
      <c r="M720" s="2066">
        <f ca="1">M719*'THCP xay dung'!F172*100%</f>
        <v>16027.25582172</v>
      </c>
      <c r="N720" s="2056"/>
      <c r="O720" s="2057"/>
      <c r="P720" s="1952"/>
      <c r="Q720" s="2025"/>
      <c r="R720" s="2025"/>
      <c r="S720" s="2025"/>
    </row>
    <row r="721" spans="1:19" s="474" customFormat="1" ht="15" hidden="1">
      <c r="A721" s="2058" t="s">
        <v>304</v>
      </c>
      <c r="B721" s="2059"/>
      <c r="C721" s="2059"/>
      <c r="D721" s="2059"/>
      <c r="E721" s="2060"/>
      <c r="F721" s="2060"/>
      <c r="G721" s="2075" t="s">
        <v>1837</v>
      </c>
      <c r="H721" s="2060"/>
      <c r="I721" s="2060"/>
      <c r="J721" s="2060" t="s">
        <v>1636</v>
      </c>
      <c r="K721" s="2062"/>
      <c r="L721" s="2061"/>
      <c r="M721" s="2074">
        <f ca="1">M719+M720</f>
        <v>283148.18618372001</v>
      </c>
      <c r="N721" s="2063"/>
      <c r="O721" s="2064"/>
      <c r="P721" s="1952"/>
      <c r="Q721" s="2025"/>
      <c r="R721" s="2025"/>
      <c r="S721" s="2025"/>
    </row>
    <row r="722" spans="1:19" s="474" customFormat="1" ht="15">
      <c r="A722" s="2136" t="str">
        <f>'Du toan XD'!A290</f>
        <v>HM6</v>
      </c>
      <c r="B722" s="2137" t="str">
        <f>'Du toan XD'!E290</f>
        <v>HM</v>
      </c>
      <c r="C722" s="2137"/>
      <c r="D722" s="2137"/>
      <c r="E722" s="2138"/>
      <c r="F722" s="2138"/>
      <c r="G722" s="2138" t="str">
        <f>'Du toan XD'!F290</f>
        <v>HỆ CỬA</v>
      </c>
      <c r="H722" s="2139"/>
      <c r="I722" s="2139"/>
      <c r="J722" s="1953"/>
      <c r="K722" s="1954"/>
      <c r="L722" s="1953"/>
      <c r="M722" s="1955"/>
      <c r="N722" s="2025"/>
      <c r="O722" s="2025"/>
      <c r="P722" s="2025"/>
      <c r="Q722" s="2025"/>
      <c r="R722" s="2025"/>
      <c r="S722" s="2025"/>
    </row>
    <row r="723" spans="1:19" s="474" customFormat="1" ht="30">
      <c r="A723" s="2042">
        <v>96</v>
      </c>
      <c r="B723" s="2043">
        <f>'Du toan XD'!B291</f>
        <v>1</v>
      </c>
      <c r="C723" s="2043"/>
      <c r="D723" s="2154" t="str">
        <f>'Du toan XD'!D291</f>
        <v>TT</v>
      </c>
      <c r="E723" s="2044" t="s">
        <v>33</v>
      </c>
      <c r="F723" s="2044"/>
      <c r="G723" s="2045" t="str">
        <f>'Du toan XD'!F291</f>
        <v>Cửa đi gỗ pano đặc. (Tương đương gỗ nhóm III)</v>
      </c>
      <c r="H723" s="2044" t="str">
        <f>'Du toan XD'!G291</f>
        <v>ĐVT</v>
      </c>
      <c r="I723" s="2044">
        <f>'Du toan XD'!H291</f>
        <v>6.2520000000000007</v>
      </c>
      <c r="J723" s="2046"/>
      <c r="K723" s="2047"/>
      <c r="L723" s="2046"/>
      <c r="M723" s="2047"/>
      <c r="N723" s="2048"/>
      <c r="O723" s="2049"/>
      <c r="P723" s="1952"/>
      <c r="Q723" s="2025"/>
      <c r="R723" s="2025"/>
      <c r="S723" s="2025"/>
    </row>
    <row r="724" spans="1:19" s="474" customFormat="1" ht="15">
      <c r="A724" s="2050"/>
      <c r="B724" s="2051"/>
      <c r="C724" s="2051"/>
      <c r="D724" s="2051"/>
      <c r="E724" s="2052"/>
      <c r="F724" s="2052"/>
      <c r="G724" s="2067" t="s">
        <v>224</v>
      </c>
      <c r="H724" s="2067"/>
      <c r="I724" s="2067"/>
      <c r="J724" s="2068">
        <f>Config!C36</f>
        <v>1</v>
      </c>
      <c r="K724" s="2069"/>
      <c r="L724" s="2070"/>
      <c r="M724" s="2069">
        <v>2675000</v>
      </c>
      <c r="N724" s="2056"/>
      <c r="O724" s="2057"/>
      <c r="P724" s="1952"/>
      <c r="Q724" s="2025"/>
      <c r="R724" s="2025"/>
      <c r="S724" s="2025"/>
    </row>
    <row r="725" spans="1:19" s="474" customFormat="1" ht="15">
      <c r="A725" s="2050"/>
      <c r="B725" s="2051"/>
      <c r="C725" s="2051"/>
      <c r="D725" s="2051"/>
      <c r="E725" s="2052"/>
      <c r="F725" s="2052"/>
      <c r="G725" s="2067" t="s">
        <v>225</v>
      </c>
      <c r="H725" s="2067"/>
      <c r="I725" s="2067"/>
      <c r="J725" s="2068">
        <f>Config!C37</f>
        <v>1</v>
      </c>
      <c r="K725" s="2069"/>
      <c r="L725" s="2070"/>
      <c r="M725" s="2069">
        <f>ROUND(J725*K725,Config!C103)</f>
        <v>0</v>
      </c>
      <c r="N725" s="2056"/>
      <c r="O725" s="2057"/>
      <c r="P725" s="1952"/>
      <c r="Q725" s="2025"/>
      <c r="R725" s="2025"/>
      <c r="S725" s="2025"/>
    </row>
    <row r="726" spans="1:19" s="474" customFormat="1" ht="15">
      <c r="A726" s="2050"/>
      <c r="B726" s="2051"/>
      <c r="C726" s="2051"/>
      <c r="D726" s="2051"/>
      <c r="E726" s="2052"/>
      <c r="F726" s="2052"/>
      <c r="G726" s="2067" t="s">
        <v>228</v>
      </c>
      <c r="H726" s="2067"/>
      <c r="I726" s="2067"/>
      <c r="J726" s="2068">
        <f>Config!C38</f>
        <v>1</v>
      </c>
      <c r="K726" s="2069"/>
      <c r="L726" s="2070"/>
      <c r="M726" s="2069">
        <f>ROUND(J726*K726,Config!C103)</f>
        <v>0</v>
      </c>
      <c r="N726" s="2056"/>
      <c r="O726" s="2057"/>
      <c r="P726" s="1952"/>
      <c r="Q726" s="2025"/>
      <c r="R726" s="2025"/>
      <c r="S726" s="2025"/>
    </row>
    <row r="727" spans="1:19" s="474" customFormat="1" ht="15" hidden="1">
      <c r="A727" s="2050"/>
      <c r="B727" s="2051"/>
      <c r="C727" s="2051"/>
      <c r="D727" s="2051"/>
      <c r="E727" s="2052"/>
      <c r="F727" s="2052"/>
      <c r="G727" s="2065" t="s">
        <v>109</v>
      </c>
      <c r="H727" s="2052"/>
      <c r="I727" s="2052"/>
      <c r="J727" s="2052" t="s">
        <v>333</v>
      </c>
      <c r="K727" s="2055"/>
      <c r="L727" s="2054"/>
      <c r="M727" s="2066">
        <f>M724+M725+M726</f>
        <v>2675000</v>
      </c>
      <c r="N727" s="2056"/>
      <c r="O727" s="2057"/>
      <c r="P727" s="1952"/>
      <c r="Q727" s="2025"/>
      <c r="R727" s="2025"/>
      <c r="S727" s="2025"/>
    </row>
    <row r="728" spans="1:19" s="474" customFormat="1" ht="15" hidden="1">
      <c r="A728" s="2050"/>
      <c r="B728" s="2051"/>
      <c r="C728" s="2051"/>
      <c r="D728" s="2051"/>
      <c r="E728" s="2052"/>
      <c r="F728" s="2052"/>
      <c r="G728" s="2065" t="s">
        <v>378</v>
      </c>
      <c r="H728" s="2052"/>
      <c r="I728" s="2052"/>
      <c r="J728" s="2052" t="str">
        <f ca="1">"T*"&amp;'THCP xay dung'!F193*100&amp;"%"</f>
        <v>T*6,2%</v>
      </c>
      <c r="K728" s="2055"/>
      <c r="L728" s="2054"/>
      <c r="M728" s="2066">
        <f ca="1">M727*'THCP xay dung'!F193*100%</f>
        <v>165850</v>
      </c>
      <c r="N728" s="2056"/>
      <c r="O728" s="2057"/>
      <c r="P728" s="1952"/>
      <c r="Q728" s="2025"/>
      <c r="R728" s="2025"/>
      <c r="S728" s="2025"/>
    </row>
    <row r="729" spans="1:19" s="474" customFormat="1" ht="28.5" hidden="1">
      <c r="A729" s="2050"/>
      <c r="B729" s="2051"/>
      <c r="C729" s="2051"/>
      <c r="D729" s="2051"/>
      <c r="E729" s="2052"/>
      <c r="F729" s="2052"/>
      <c r="G729" s="2065" t="s">
        <v>702</v>
      </c>
      <c r="H729" s="2052"/>
      <c r="I729" s="2052"/>
      <c r="J729" s="2052" t="str">
        <f>IF('THCP xay dung'!G194&lt;&gt;1,"T*"&amp;'THCP xay dung'!F194*100&amp;"%"&amp;"*"&amp;'THCP xay dung'!G194,"T*"&amp;'THCP xay dung'!F194*100&amp;"%")</f>
        <v>T*1,1%</v>
      </c>
      <c r="K729" s="2055"/>
      <c r="L729" s="2054"/>
      <c r="M729" s="2066">
        <f>IF('THCP xay dung'!G194&lt;&gt;1,M727*'THCP xay dung'!F194*100%*'THCP xay dung'!G194,M727*'THCP xay dung'!F194*100%)</f>
        <v>29425.000000000004</v>
      </c>
      <c r="N729" s="2056"/>
      <c r="O729" s="2057"/>
      <c r="P729" s="1952"/>
      <c r="Q729" s="2025"/>
      <c r="R729" s="2025"/>
      <c r="S729" s="2025"/>
    </row>
    <row r="730" spans="1:19" s="474" customFormat="1" ht="42.75" hidden="1">
      <c r="A730" s="2050"/>
      <c r="B730" s="2051"/>
      <c r="C730" s="2051"/>
      <c r="D730" s="2051"/>
      <c r="E730" s="2052"/>
      <c r="F730" s="2052"/>
      <c r="G730" s="2065" t="s">
        <v>703</v>
      </c>
      <c r="H730" s="2052"/>
      <c r="I730" s="2052"/>
      <c r="J730" s="2052" t="str">
        <f ca="1">"T*"&amp;'THCP xay dung'!F195*100&amp;"%"</f>
        <v>T*2%</v>
      </c>
      <c r="K730" s="2055"/>
      <c r="L730" s="2054"/>
      <c r="M730" s="2066">
        <f ca="1">M727*'THCP xay dung'!F195*100%</f>
        <v>53500</v>
      </c>
      <c r="N730" s="2056"/>
      <c r="O730" s="2057"/>
      <c r="P730" s="1952"/>
      <c r="Q730" s="2025"/>
      <c r="R730" s="2025"/>
      <c r="S730" s="2025"/>
    </row>
    <row r="731" spans="1:19" s="474" customFormat="1" ht="15" hidden="1">
      <c r="A731" s="2050"/>
      <c r="B731" s="2051"/>
      <c r="C731" s="2051"/>
      <c r="D731" s="2051"/>
      <c r="E731" s="2052"/>
      <c r="F731" s="2052"/>
      <c r="G731" s="2065" t="s">
        <v>701</v>
      </c>
      <c r="H731" s="2052"/>
      <c r="I731" s="2052"/>
      <c r="J731" s="2052" t="s">
        <v>931</v>
      </c>
      <c r="K731" s="2055"/>
      <c r="L731" s="2054"/>
      <c r="M731" s="2066">
        <f ca="1">M728+M729+M730</f>
        <v>248775</v>
      </c>
      <c r="N731" s="2056"/>
      <c r="O731" s="2057"/>
      <c r="P731" s="1952"/>
      <c r="Q731" s="2025"/>
      <c r="R731" s="2025"/>
      <c r="S731" s="2025"/>
    </row>
    <row r="732" spans="1:19" s="474" customFormat="1" ht="15" hidden="1">
      <c r="A732" s="2050"/>
      <c r="B732" s="2051"/>
      <c r="C732" s="2051"/>
      <c r="D732" s="2051"/>
      <c r="E732" s="2052"/>
      <c r="F732" s="2052"/>
      <c r="G732" s="2065" t="s">
        <v>574</v>
      </c>
      <c r="H732" s="2052"/>
      <c r="I732" s="2052"/>
      <c r="J732" s="2052" t="str">
        <f ca="1">"(T+GT)*"&amp;'THCP xay dung'!F197*100&amp;"%"</f>
        <v>(T+GT)*6%</v>
      </c>
      <c r="K732" s="2055"/>
      <c r="L732" s="2054"/>
      <c r="M732" s="2066">
        <f ca="1">(M727+M731)*'THCP xay dung'!F197*100%</f>
        <v>175426.5</v>
      </c>
      <c r="N732" s="2056"/>
      <c r="O732" s="2057"/>
      <c r="P732" s="1952"/>
      <c r="Q732" s="2025"/>
      <c r="R732" s="2025"/>
      <c r="S732" s="2025"/>
    </row>
    <row r="733" spans="1:19" s="474" customFormat="1" ht="15" hidden="1">
      <c r="A733" s="2050"/>
      <c r="B733" s="2051"/>
      <c r="C733" s="2051"/>
      <c r="D733" s="2051"/>
      <c r="E733" s="2052"/>
      <c r="F733" s="2052"/>
      <c r="G733" s="2065" t="s">
        <v>113</v>
      </c>
      <c r="H733" s="2052"/>
      <c r="I733" s="2052"/>
      <c r="J733" s="2052" t="s">
        <v>705</v>
      </c>
      <c r="K733" s="2055"/>
      <c r="L733" s="2054"/>
      <c r="M733" s="2066">
        <f ca="1">M727+M731+M732</f>
        <v>3099201.5</v>
      </c>
      <c r="N733" s="2056"/>
      <c r="O733" s="2057"/>
      <c r="P733" s="1952"/>
      <c r="Q733" s="2025"/>
      <c r="R733" s="2025"/>
      <c r="S733" s="2025"/>
    </row>
    <row r="734" spans="1:19" s="474" customFormat="1" ht="15" hidden="1">
      <c r="A734" s="2050"/>
      <c r="B734" s="2051"/>
      <c r="C734" s="2051"/>
      <c r="D734" s="2051"/>
      <c r="E734" s="2052"/>
      <c r="F734" s="2052"/>
      <c r="G734" s="2065" t="s">
        <v>575</v>
      </c>
      <c r="H734" s="2052"/>
      <c r="I734" s="2052"/>
      <c r="J734" s="2052" t="str">
        <f>"G*"&amp;'THCP xay dung'!F199*100&amp;"%"</f>
        <v>G*10%</v>
      </c>
      <c r="K734" s="2055"/>
      <c r="L734" s="2054"/>
      <c r="M734" s="2066">
        <f ca="1">M733*'THCP xay dung'!F199*100%</f>
        <v>309920.15000000002</v>
      </c>
      <c r="N734" s="2056"/>
      <c r="O734" s="2057"/>
      <c r="P734" s="1952"/>
      <c r="Q734" s="2025"/>
      <c r="R734" s="2025"/>
      <c r="S734" s="2025"/>
    </row>
    <row r="735" spans="1:19" s="474" customFormat="1" ht="15" hidden="1">
      <c r="A735" s="2050"/>
      <c r="B735" s="2051"/>
      <c r="C735" s="2051"/>
      <c r="D735" s="2051"/>
      <c r="E735" s="2052"/>
      <c r="F735" s="2052"/>
      <c r="G735" s="2065" t="s">
        <v>117</v>
      </c>
      <c r="H735" s="2052"/>
      <c r="I735" s="2052"/>
      <c r="J735" s="2052" t="s">
        <v>596</v>
      </c>
      <c r="K735" s="2055"/>
      <c r="L735" s="2054"/>
      <c r="M735" s="2066">
        <f ca="1">M733+M734</f>
        <v>3409121.65</v>
      </c>
      <c r="N735" s="2056"/>
      <c r="O735" s="2057"/>
      <c r="P735" s="1952"/>
      <c r="Q735" s="2025"/>
      <c r="R735" s="2025"/>
      <c r="S735" s="2025"/>
    </row>
    <row r="736" spans="1:19" s="474" customFormat="1" ht="15" hidden="1">
      <c r="A736" s="2050"/>
      <c r="B736" s="2051"/>
      <c r="C736" s="2051"/>
      <c r="D736" s="2051"/>
      <c r="E736" s="2052"/>
      <c r="F736" s="2052"/>
      <c r="G736" s="2065" t="s">
        <v>168</v>
      </c>
      <c r="H736" s="2052"/>
      <c r="I736" s="2052"/>
      <c r="J736" s="2052" t="str">
        <f ca="1">"GXD*"&amp;'THCP xay dung'!F201*100&amp;"%"</f>
        <v>GXD*6%</v>
      </c>
      <c r="K736" s="2055"/>
      <c r="L736" s="2054"/>
      <c r="M736" s="2066">
        <f ca="1">M735*'THCP xay dung'!F201*100%</f>
        <v>204547.299</v>
      </c>
      <c r="N736" s="2056"/>
      <c r="O736" s="2057"/>
      <c r="P736" s="1952"/>
      <c r="Q736" s="2025"/>
      <c r="R736" s="2025"/>
      <c r="S736" s="2025"/>
    </row>
    <row r="737" spans="1:19" s="474" customFormat="1" ht="15" hidden="1">
      <c r="A737" s="2090" t="s">
        <v>304</v>
      </c>
      <c r="B737" s="2091"/>
      <c r="C737" s="2091"/>
      <c r="D737" s="2091"/>
      <c r="E737" s="2092"/>
      <c r="F737" s="2092"/>
      <c r="G737" s="2075" t="s">
        <v>1837</v>
      </c>
      <c r="H737" s="2060"/>
      <c r="I737" s="2060"/>
      <c r="J737" s="2060" t="s">
        <v>1636</v>
      </c>
      <c r="K737" s="2062"/>
      <c r="L737" s="2061"/>
      <c r="M737" s="2074">
        <f ca="1">M735+M736</f>
        <v>3613668.949</v>
      </c>
      <c r="N737" s="2063"/>
      <c r="O737" s="2064"/>
      <c r="P737" s="1952"/>
      <c r="Q737" s="2025"/>
      <c r="R737" s="2025"/>
      <c r="S737" s="2025"/>
    </row>
    <row r="738" spans="1:19" s="474" customFormat="1" ht="30">
      <c r="A738" s="2093">
        <v>97</v>
      </c>
      <c r="B738" s="2094">
        <f>'Du toan XD'!B294</f>
        <v>2</v>
      </c>
      <c r="C738" s="2094"/>
      <c r="D738" s="2155" t="str">
        <f>'Du toan XD'!D294</f>
        <v>TT</v>
      </c>
      <c r="E738" s="2093" t="s">
        <v>33</v>
      </c>
      <c r="F738" s="2093"/>
      <c r="G738" s="2114" t="str">
        <f>'Du toan XD'!F294</f>
        <v>Cửa đi nhôm Việt - Pháp hoặc Xingfa</v>
      </c>
      <c r="H738" s="2093" t="str">
        <f>'Du toan XD'!G294</f>
        <v>ĐVT</v>
      </c>
      <c r="I738" s="2093">
        <f>'Du toan XD'!H294</f>
        <v>3.96</v>
      </c>
      <c r="J738" s="2095"/>
      <c r="K738" s="2096"/>
      <c r="L738" s="2097"/>
      <c r="M738" s="2096"/>
      <c r="N738" s="2098"/>
      <c r="O738" s="2098"/>
      <c r="P738" s="1952"/>
      <c r="Q738" s="2025"/>
      <c r="R738" s="2025"/>
      <c r="S738" s="2025"/>
    </row>
    <row r="739" spans="1:19" s="474" customFormat="1" ht="15">
      <c r="A739" s="2099"/>
      <c r="B739" s="2100"/>
      <c r="C739" s="2100"/>
      <c r="D739" s="2100"/>
      <c r="E739" s="2099"/>
      <c r="F739" s="2099"/>
      <c r="G739" s="2116" t="s">
        <v>224</v>
      </c>
      <c r="H739" s="2116"/>
      <c r="I739" s="2116"/>
      <c r="J739" s="2117">
        <f>Config!C36</f>
        <v>1</v>
      </c>
      <c r="K739" s="2118"/>
      <c r="L739" s="2119"/>
      <c r="M739" s="2118">
        <v>1351500</v>
      </c>
      <c r="N739" s="2106"/>
      <c r="O739" s="2106"/>
      <c r="P739" s="1952"/>
      <c r="Q739" s="2025"/>
      <c r="R739" s="2025"/>
      <c r="S739" s="2025"/>
    </row>
    <row r="740" spans="1:19" s="474" customFormat="1" ht="15">
      <c r="A740" s="2099"/>
      <c r="B740" s="2100"/>
      <c r="C740" s="2100"/>
      <c r="D740" s="2100"/>
      <c r="E740" s="2099"/>
      <c r="F740" s="2099"/>
      <c r="G740" s="2116" t="s">
        <v>225</v>
      </c>
      <c r="H740" s="2116"/>
      <c r="I740" s="2116"/>
      <c r="J740" s="2117">
        <f>Config!C37</f>
        <v>1</v>
      </c>
      <c r="K740" s="2118"/>
      <c r="L740" s="2119"/>
      <c r="M740" s="2118">
        <f>ROUND(J740*K740,Config!C103)</f>
        <v>0</v>
      </c>
      <c r="N740" s="2106"/>
      <c r="O740" s="2106"/>
      <c r="P740" s="1952"/>
      <c r="Q740" s="2025"/>
      <c r="R740" s="2025"/>
      <c r="S740" s="2025"/>
    </row>
    <row r="741" spans="1:19" s="474" customFormat="1" ht="15">
      <c r="A741" s="2099"/>
      <c r="B741" s="2100"/>
      <c r="C741" s="2100"/>
      <c r="D741" s="2100"/>
      <c r="E741" s="2099"/>
      <c r="F741" s="2099"/>
      <c r="G741" s="2116" t="s">
        <v>228</v>
      </c>
      <c r="H741" s="2116"/>
      <c r="I741" s="2116"/>
      <c r="J741" s="2117">
        <f>Config!C38</f>
        <v>1</v>
      </c>
      <c r="K741" s="2118"/>
      <c r="L741" s="2119"/>
      <c r="M741" s="2118">
        <f>ROUND(J741*K741,Config!C103)</f>
        <v>0</v>
      </c>
      <c r="N741" s="2106"/>
      <c r="O741" s="2106"/>
      <c r="P741" s="1952"/>
      <c r="Q741" s="2025"/>
      <c r="R741" s="2025"/>
      <c r="S741" s="2025"/>
    </row>
    <row r="742" spans="1:19" s="474" customFormat="1" ht="15" hidden="1">
      <c r="A742" s="2099"/>
      <c r="B742" s="2100"/>
      <c r="C742" s="2100"/>
      <c r="D742" s="2100"/>
      <c r="E742" s="2099"/>
      <c r="F742" s="2099"/>
      <c r="G742" s="2101" t="s">
        <v>109</v>
      </c>
      <c r="H742" s="2099"/>
      <c r="I742" s="2099"/>
      <c r="J742" s="2099" t="s">
        <v>333</v>
      </c>
      <c r="K742" s="2103"/>
      <c r="L742" s="2104"/>
      <c r="M742" s="2105">
        <f>M739+M740+M741</f>
        <v>1351500</v>
      </c>
      <c r="N742" s="2106"/>
      <c r="O742" s="2106"/>
      <c r="P742" s="1952"/>
      <c r="Q742" s="2025"/>
      <c r="R742" s="2025"/>
      <c r="S742" s="2025"/>
    </row>
    <row r="743" spans="1:19" s="474" customFormat="1" ht="15" hidden="1">
      <c r="A743" s="2099"/>
      <c r="B743" s="2100"/>
      <c r="C743" s="2100"/>
      <c r="D743" s="2100"/>
      <c r="E743" s="2099"/>
      <c r="F743" s="2099"/>
      <c r="G743" s="2101" t="s">
        <v>378</v>
      </c>
      <c r="H743" s="2099"/>
      <c r="I743" s="2099"/>
      <c r="J743" s="2099" t="str">
        <f ca="1">"T*"&amp;'THCP xay dung'!F193*100&amp;"%"</f>
        <v>T*6,2%</v>
      </c>
      <c r="K743" s="2103"/>
      <c r="L743" s="2104"/>
      <c r="M743" s="2105">
        <f ca="1">M742*'THCP xay dung'!F193*100%</f>
        <v>83793</v>
      </c>
      <c r="N743" s="2106"/>
      <c r="O743" s="2106"/>
      <c r="P743" s="1952"/>
      <c r="Q743" s="2025"/>
      <c r="R743" s="2025"/>
      <c r="S743" s="2025"/>
    </row>
    <row r="744" spans="1:19" s="474" customFormat="1" ht="28.5" hidden="1">
      <c r="A744" s="2099"/>
      <c r="B744" s="2100"/>
      <c r="C744" s="2100"/>
      <c r="D744" s="2100"/>
      <c r="E744" s="2099"/>
      <c r="F744" s="2099"/>
      <c r="G744" s="2101" t="s">
        <v>702</v>
      </c>
      <c r="H744" s="2099"/>
      <c r="I744" s="2099"/>
      <c r="J744" s="2099" t="str">
        <f>IF('THCP xay dung'!G194&lt;&gt;1,"T*"&amp;'THCP xay dung'!F194*100&amp;"%"&amp;"*"&amp;'THCP xay dung'!G194,"T*"&amp;'THCP xay dung'!F194*100&amp;"%")</f>
        <v>T*1,1%</v>
      </c>
      <c r="K744" s="2103"/>
      <c r="L744" s="2104"/>
      <c r="M744" s="2105">
        <f>IF('THCP xay dung'!G194&lt;&gt;1,M742*'THCP xay dung'!F194*100%*'THCP xay dung'!G194,M742*'THCP xay dung'!F194*100%)</f>
        <v>14866.500000000002</v>
      </c>
      <c r="N744" s="2106"/>
      <c r="O744" s="2106"/>
      <c r="P744" s="1952"/>
      <c r="Q744" s="2025"/>
      <c r="R744" s="2025"/>
      <c r="S744" s="2025"/>
    </row>
    <row r="745" spans="1:19" s="474" customFormat="1" ht="42.75" hidden="1">
      <c r="A745" s="2099"/>
      <c r="B745" s="2100"/>
      <c r="C745" s="2100"/>
      <c r="D745" s="2100"/>
      <c r="E745" s="2099"/>
      <c r="F745" s="2099"/>
      <c r="G745" s="2101" t="s">
        <v>703</v>
      </c>
      <c r="H745" s="2099"/>
      <c r="I745" s="2099"/>
      <c r="J745" s="2099" t="str">
        <f ca="1">"T*"&amp;'THCP xay dung'!F195*100&amp;"%"</f>
        <v>T*2%</v>
      </c>
      <c r="K745" s="2103"/>
      <c r="L745" s="2104"/>
      <c r="M745" s="2105">
        <f ca="1">M742*'THCP xay dung'!F195*100%</f>
        <v>27030</v>
      </c>
      <c r="N745" s="2106"/>
      <c r="O745" s="2106"/>
      <c r="P745" s="1952"/>
      <c r="Q745" s="2025"/>
      <c r="R745" s="2025"/>
      <c r="S745" s="2025"/>
    </row>
    <row r="746" spans="1:19" s="474" customFormat="1" ht="15" hidden="1">
      <c r="A746" s="2099"/>
      <c r="B746" s="2100"/>
      <c r="C746" s="2100"/>
      <c r="D746" s="2100"/>
      <c r="E746" s="2099"/>
      <c r="F746" s="2099"/>
      <c r="G746" s="2101" t="s">
        <v>701</v>
      </c>
      <c r="H746" s="2099"/>
      <c r="I746" s="2099"/>
      <c r="J746" s="2099" t="s">
        <v>931</v>
      </c>
      <c r="K746" s="2103"/>
      <c r="L746" s="2104"/>
      <c r="M746" s="2105">
        <f ca="1">M743+M744+M745</f>
        <v>125689.5</v>
      </c>
      <c r="N746" s="2106"/>
      <c r="O746" s="2106"/>
      <c r="P746" s="1952"/>
      <c r="Q746" s="2025"/>
      <c r="R746" s="2025"/>
      <c r="S746" s="2025"/>
    </row>
    <row r="747" spans="1:19" s="474" customFormat="1" ht="15" hidden="1">
      <c r="A747" s="2099"/>
      <c r="B747" s="2100"/>
      <c r="C747" s="2100"/>
      <c r="D747" s="2100"/>
      <c r="E747" s="2099"/>
      <c r="F747" s="2099"/>
      <c r="G747" s="2101" t="s">
        <v>574</v>
      </c>
      <c r="H747" s="2099"/>
      <c r="I747" s="2099"/>
      <c r="J747" s="2099" t="str">
        <f ca="1">"(T+GT)*"&amp;'THCP xay dung'!F197*100&amp;"%"</f>
        <v>(T+GT)*6%</v>
      </c>
      <c r="K747" s="2103"/>
      <c r="L747" s="2104"/>
      <c r="M747" s="2105">
        <f ca="1">(M742+M746)*'THCP xay dung'!F197*100%</f>
        <v>88631.37</v>
      </c>
      <c r="N747" s="2106"/>
      <c r="O747" s="2106"/>
      <c r="P747" s="1952"/>
      <c r="Q747" s="2025"/>
      <c r="R747" s="2025"/>
      <c r="S747" s="2025"/>
    </row>
    <row r="748" spans="1:19" s="474" customFormat="1" ht="15" hidden="1">
      <c r="A748" s="2099"/>
      <c r="B748" s="2100"/>
      <c r="C748" s="2100"/>
      <c r="D748" s="2100"/>
      <c r="E748" s="2099"/>
      <c r="F748" s="2099"/>
      <c r="G748" s="2101" t="s">
        <v>113</v>
      </c>
      <c r="H748" s="2099"/>
      <c r="I748" s="2099"/>
      <c r="J748" s="2099" t="s">
        <v>705</v>
      </c>
      <c r="K748" s="2103"/>
      <c r="L748" s="2104"/>
      <c r="M748" s="2105">
        <f ca="1">M742+M746+M747</f>
        <v>1565820.87</v>
      </c>
      <c r="N748" s="2106"/>
      <c r="O748" s="2106"/>
      <c r="P748" s="1952"/>
      <c r="Q748" s="2025"/>
      <c r="R748" s="2025"/>
      <c r="S748" s="2025"/>
    </row>
    <row r="749" spans="1:19" s="474" customFormat="1" ht="15" hidden="1">
      <c r="A749" s="2099"/>
      <c r="B749" s="2100"/>
      <c r="C749" s="2100"/>
      <c r="D749" s="2100"/>
      <c r="E749" s="2099"/>
      <c r="F749" s="2099"/>
      <c r="G749" s="2101" t="s">
        <v>575</v>
      </c>
      <c r="H749" s="2099"/>
      <c r="I749" s="2099"/>
      <c r="J749" s="2099" t="str">
        <f>"G*"&amp;'THCP xay dung'!F199*100&amp;"%"</f>
        <v>G*10%</v>
      </c>
      <c r="K749" s="2103"/>
      <c r="L749" s="2104"/>
      <c r="M749" s="2105">
        <f ca="1">M748*'THCP xay dung'!F199*100%</f>
        <v>156582.08700000003</v>
      </c>
      <c r="N749" s="2106"/>
      <c r="O749" s="2106"/>
      <c r="P749" s="1952"/>
      <c r="Q749" s="2025"/>
      <c r="R749" s="2025"/>
      <c r="S749" s="2025"/>
    </row>
    <row r="750" spans="1:19" s="474" customFormat="1" ht="15" hidden="1">
      <c r="A750" s="2099"/>
      <c r="B750" s="2100"/>
      <c r="C750" s="2100"/>
      <c r="D750" s="2100"/>
      <c r="E750" s="2099"/>
      <c r="F750" s="2099"/>
      <c r="G750" s="2101" t="s">
        <v>117</v>
      </c>
      <c r="H750" s="2099"/>
      <c r="I750" s="2099"/>
      <c r="J750" s="2099" t="s">
        <v>596</v>
      </c>
      <c r="K750" s="2103"/>
      <c r="L750" s="2104"/>
      <c r="M750" s="2105">
        <f ca="1">M748+M749</f>
        <v>1722402.9570000002</v>
      </c>
      <c r="N750" s="2106"/>
      <c r="O750" s="2106"/>
      <c r="P750" s="1952"/>
      <c r="Q750" s="2025"/>
      <c r="R750" s="2025"/>
      <c r="S750" s="2025"/>
    </row>
    <row r="751" spans="1:19" s="474" customFormat="1" ht="15" hidden="1">
      <c r="A751" s="2099"/>
      <c r="B751" s="2100"/>
      <c r="C751" s="2100"/>
      <c r="D751" s="2100"/>
      <c r="E751" s="2099"/>
      <c r="F751" s="2099"/>
      <c r="G751" s="2101" t="s">
        <v>168</v>
      </c>
      <c r="H751" s="2099"/>
      <c r="I751" s="2099"/>
      <c r="J751" s="2099" t="str">
        <f ca="1">"GXD*"&amp;'THCP xay dung'!F201*100&amp;"%"</f>
        <v>GXD*6%</v>
      </c>
      <c r="K751" s="2103"/>
      <c r="L751" s="2104"/>
      <c r="M751" s="2105">
        <f ca="1">M750*'THCP xay dung'!F201*100%</f>
        <v>103344.17742000001</v>
      </c>
      <c r="N751" s="2106"/>
      <c r="O751" s="2106"/>
      <c r="P751" s="1952"/>
      <c r="Q751" s="2025"/>
      <c r="R751" s="2025"/>
      <c r="S751" s="2025"/>
    </row>
    <row r="752" spans="1:19" s="474" customFormat="1" ht="15" hidden="1">
      <c r="A752" s="2122" t="s">
        <v>304</v>
      </c>
      <c r="B752" s="2123"/>
      <c r="C752" s="2123"/>
      <c r="D752" s="2123"/>
      <c r="E752" s="2122"/>
      <c r="F752" s="2122"/>
      <c r="G752" s="2109" t="s">
        <v>1837</v>
      </c>
      <c r="H752" s="2107"/>
      <c r="I752" s="2107"/>
      <c r="J752" s="2107" t="s">
        <v>1636</v>
      </c>
      <c r="K752" s="2110"/>
      <c r="L752" s="2111"/>
      <c r="M752" s="2112">
        <f ca="1">M750+M751</f>
        <v>1825747.1344200002</v>
      </c>
      <c r="N752" s="2113"/>
      <c r="O752" s="2113"/>
      <c r="P752" s="1952"/>
      <c r="Q752" s="2025"/>
      <c r="R752" s="2025"/>
      <c r="S752" s="2025"/>
    </row>
    <row r="753" spans="1:19" s="474" customFormat="1" ht="30">
      <c r="A753" s="2124">
        <v>98</v>
      </c>
      <c r="B753" s="2125">
        <f>'Du toan XD'!B296</f>
        <v>3</v>
      </c>
      <c r="C753" s="2125"/>
      <c r="D753" s="2156" t="str">
        <f>'Du toan XD'!D296</f>
        <v>TT</v>
      </c>
      <c r="E753" s="2126" t="s">
        <v>33</v>
      </c>
      <c r="F753" s="2126"/>
      <c r="G753" s="2132" t="str">
        <f>'Du toan XD'!F296</f>
        <v>Cửa sổ nhôm Việt - Pháp hoặc Xingfa</v>
      </c>
      <c r="H753" s="2126" t="str">
        <f>'Du toan XD'!G296</f>
        <v>ĐVT</v>
      </c>
      <c r="I753" s="2126">
        <f>'Du toan XD'!H296</f>
        <v>10.08</v>
      </c>
      <c r="J753" s="2127"/>
      <c r="K753" s="2128"/>
      <c r="L753" s="2129"/>
      <c r="M753" s="2128"/>
      <c r="N753" s="2130"/>
      <c r="O753" s="2131"/>
      <c r="P753" s="1952"/>
      <c r="Q753" s="2025"/>
      <c r="R753" s="2025"/>
      <c r="S753" s="2025"/>
    </row>
    <row r="754" spans="1:19" s="474" customFormat="1" ht="15">
      <c r="A754" s="2050"/>
      <c r="B754" s="2051"/>
      <c r="C754" s="2051"/>
      <c r="D754" s="2051"/>
      <c r="E754" s="2052"/>
      <c r="F754" s="2052"/>
      <c r="G754" s="2067" t="s">
        <v>224</v>
      </c>
      <c r="H754" s="2067"/>
      <c r="I754" s="2067"/>
      <c r="J754" s="2133">
        <f>Config!C36</f>
        <v>1</v>
      </c>
      <c r="K754" s="2069"/>
      <c r="L754" s="2070"/>
      <c r="M754" s="2069">
        <v>1301500</v>
      </c>
      <c r="N754" s="2056"/>
      <c r="O754" s="2057"/>
      <c r="P754" s="1952"/>
      <c r="Q754" s="2025"/>
      <c r="R754" s="2025"/>
      <c r="S754" s="2025"/>
    </row>
    <row r="755" spans="1:19" s="474" customFormat="1" ht="15">
      <c r="A755" s="2050"/>
      <c r="B755" s="2051"/>
      <c r="C755" s="2051"/>
      <c r="D755" s="2051"/>
      <c r="E755" s="2052"/>
      <c r="F755" s="2052"/>
      <c r="G755" s="2067" t="s">
        <v>225</v>
      </c>
      <c r="H755" s="2067"/>
      <c r="I755" s="2067"/>
      <c r="J755" s="2133">
        <f>Config!C37</f>
        <v>1</v>
      </c>
      <c r="K755" s="2069"/>
      <c r="L755" s="2070"/>
      <c r="M755" s="2069">
        <f>ROUND(J755*K755,Config!C103)</f>
        <v>0</v>
      </c>
      <c r="N755" s="2056"/>
      <c r="O755" s="2057"/>
      <c r="P755" s="1952"/>
      <c r="Q755" s="2025"/>
      <c r="R755" s="2025"/>
      <c r="S755" s="2025"/>
    </row>
    <row r="756" spans="1:19" s="474" customFormat="1" ht="15">
      <c r="A756" s="2050"/>
      <c r="B756" s="2051"/>
      <c r="C756" s="2051"/>
      <c r="D756" s="2051"/>
      <c r="E756" s="2052"/>
      <c r="F756" s="2052"/>
      <c r="G756" s="2067" t="s">
        <v>228</v>
      </c>
      <c r="H756" s="2067"/>
      <c r="I756" s="2067"/>
      <c r="J756" s="2133">
        <f>Config!C38</f>
        <v>1</v>
      </c>
      <c r="K756" s="2069"/>
      <c r="L756" s="2070"/>
      <c r="M756" s="2069">
        <f>ROUND(J756*K756,Config!C103)</f>
        <v>0</v>
      </c>
      <c r="N756" s="2056"/>
      <c r="O756" s="2057"/>
      <c r="P756" s="1952"/>
      <c r="Q756" s="2025"/>
      <c r="R756" s="2025"/>
      <c r="S756" s="2025"/>
    </row>
    <row r="757" spans="1:19" s="474" customFormat="1" ht="15" hidden="1">
      <c r="A757" s="2050"/>
      <c r="B757" s="2051"/>
      <c r="C757" s="2051"/>
      <c r="D757" s="2051"/>
      <c r="E757" s="2052"/>
      <c r="F757" s="2052"/>
      <c r="G757" s="2065" t="s">
        <v>109</v>
      </c>
      <c r="H757" s="2052"/>
      <c r="I757" s="2052"/>
      <c r="J757" s="2052" t="s">
        <v>333</v>
      </c>
      <c r="K757" s="2055"/>
      <c r="L757" s="2054"/>
      <c r="M757" s="2066">
        <f>M754+M755+M756</f>
        <v>1301500</v>
      </c>
      <c r="N757" s="2056"/>
      <c r="O757" s="2057"/>
      <c r="P757" s="1952"/>
      <c r="Q757" s="2025"/>
      <c r="R757" s="2025"/>
      <c r="S757" s="2025"/>
    </row>
    <row r="758" spans="1:19" s="474" customFormat="1" ht="15" hidden="1">
      <c r="A758" s="2050"/>
      <c r="B758" s="2051"/>
      <c r="C758" s="2051"/>
      <c r="D758" s="2051"/>
      <c r="E758" s="2052"/>
      <c r="F758" s="2052"/>
      <c r="G758" s="2065" t="s">
        <v>378</v>
      </c>
      <c r="H758" s="2052"/>
      <c r="I758" s="2052"/>
      <c r="J758" s="2052" t="str">
        <f ca="1">"T*"&amp;'THCP xay dung'!F193*100&amp;"%"</f>
        <v>T*6,2%</v>
      </c>
      <c r="K758" s="2055"/>
      <c r="L758" s="2054"/>
      <c r="M758" s="2066">
        <f ca="1">M757*'THCP xay dung'!F193*100%</f>
        <v>80693</v>
      </c>
      <c r="N758" s="2056"/>
      <c r="O758" s="2057"/>
      <c r="P758" s="1952"/>
      <c r="Q758" s="2025"/>
      <c r="R758" s="2025"/>
      <c r="S758" s="2025"/>
    </row>
    <row r="759" spans="1:19" s="474" customFormat="1" ht="28.5" hidden="1">
      <c r="A759" s="2050"/>
      <c r="B759" s="2051"/>
      <c r="C759" s="2051"/>
      <c r="D759" s="2051"/>
      <c r="E759" s="2052"/>
      <c r="F759" s="2052"/>
      <c r="G759" s="2065" t="s">
        <v>702</v>
      </c>
      <c r="H759" s="2052"/>
      <c r="I759" s="2052"/>
      <c r="J759" s="2052" t="str">
        <f>IF('THCP xay dung'!G194&lt;&gt;1,"T*"&amp;'THCP xay dung'!F194*100&amp;"%"&amp;"*"&amp;'THCP xay dung'!G194,"T*"&amp;'THCP xay dung'!F194*100&amp;"%")</f>
        <v>T*1,1%</v>
      </c>
      <c r="K759" s="2055"/>
      <c r="L759" s="2054"/>
      <c r="M759" s="2066">
        <f>IF('THCP xay dung'!G194&lt;&gt;1,M757*'THCP xay dung'!F194*100%*'THCP xay dung'!G194,M757*'THCP xay dung'!F194*100%)</f>
        <v>14316.500000000002</v>
      </c>
      <c r="N759" s="2056"/>
      <c r="O759" s="2057"/>
      <c r="P759" s="1952"/>
      <c r="Q759" s="2025"/>
      <c r="R759" s="2025"/>
      <c r="S759" s="2025"/>
    </row>
    <row r="760" spans="1:19" s="474" customFormat="1" ht="42.75" hidden="1">
      <c r="A760" s="2050"/>
      <c r="B760" s="2051"/>
      <c r="C760" s="2051"/>
      <c r="D760" s="2051"/>
      <c r="E760" s="2052"/>
      <c r="F760" s="2052"/>
      <c r="G760" s="2065" t="s">
        <v>703</v>
      </c>
      <c r="H760" s="2052"/>
      <c r="I760" s="2052"/>
      <c r="J760" s="2052" t="str">
        <f ca="1">"T*"&amp;'THCP xay dung'!F195*100&amp;"%"</f>
        <v>T*2%</v>
      </c>
      <c r="K760" s="2055"/>
      <c r="L760" s="2054"/>
      <c r="M760" s="2066">
        <f ca="1">M757*'THCP xay dung'!F195*100%</f>
        <v>26030</v>
      </c>
      <c r="N760" s="2056"/>
      <c r="O760" s="2057"/>
      <c r="P760" s="1952"/>
      <c r="Q760" s="2025"/>
      <c r="R760" s="2025"/>
      <c r="S760" s="2025"/>
    </row>
    <row r="761" spans="1:19" s="474" customFormat="1" ht="15" hidden="1">
      <c r="A761" s="2050"/>
      <c r="B761" s="2051"/>
      <c r="C761" s="2051"/>
      <c r="D761" s="2051"/>
      <c r="E761" s="2052"/>
      <c r="F761" s="2052"/>
      <c r="G761" s="2065" t="s">
        <v>701</v>
      </c>
      <c r="H761" s="2052"/>
      <c r="I761" s="2052"/>
      <c r="J761" s="2052" t="s">
        <v>931</v>
      </c>
      <c r="K761" s="2055"/>
      <c r="L761" s="2054"/>
      <c r="M761" s="2066">
        <f ca="1">M758+M759+M760</f>
        <v>121039.5</v>
      </c>
      <c r="N761" s="2056"/>
      <c r="O761" s="2057"/>
      <c r="P761" s="1952"/>
      <c r="Q761" s="2025"/>
      <c r="R761" s="2025"/>
      <c r="S761" s="2025"/>
    </row>
    <row r="762" spans="1:19" s="474" customFormat="1" ht="15" hidden="1">
      <c r="A762" s="2050"/>
      <c r="B762" s="2051"/>
      <c r="C762" s="2051"/>
      <c r="D762" s="2051"/>
      <c r="E762" s="2052"/>
      <c r="F762" s="2052"/>
      <c r="G762" s="2065" t="s">
        <v>574</v>
      </c>
      <c r="H762" s="2052"/>
      <c r="I762" s="2052"/>
      <c r="J762" s="2052" t="str">
        <f ca="1">"(T+GT)*"&amp;'THCP xay dung'!F197*100&amp;"%"</f>
        <v>(T+GT)*6%</v>
      </c>
      <c r="K762" s="2055"/>
      <c r="L762" s="2054"/>
      <c r="M762" s="2066">
        <f ca="1">(M757+M761)*'THCP xay dung'!F197*100%</f>
        <v>85352.37</v>
      </c>
      <c r="N762" s="2056"/>
      <c r="O762" s="2057"/>
      <c r="P762" s="1952"/>
      <c r="Q762" s="2025"/>
      <c r="R762" s="2025"/>
      <c r="S762" s="2025"/>
    </row>
    <row r="763" spans="1:19" s="474" customFormat="1" ht="15" hidden="1">
      <c r="A763" s="2050"/>
      <c r="B763" s="2051"/>
      <c r="C763" s="2051"/>
      <c r="D763" s="2051"/>
      <c r="E763" s="2052"/>
      <c r="F763" s="2052"/>
      <c r="G763" s="2065" t="s">
        <v>113</v>
      </c>
      <c r="H763" s="2052"/>
      <c r="I763" s="2052"/>
      <c r="J763" s="2052" t="s">
        <v>705</v>
      </c>
      <c r="K763" s="2055"/>
      <c r="L763" s="2054"/>
      <c r="M763" s="2066">
        <f ca="1">M757+M761+M762</f>
        <v>1507891.87</v>
      </c>
      <c r="N763" s="2056"/>
      <c r="O763" s="2057"/>
      <c r="P763" s="1952"/>
      <c r="Q763" s="2025"/>
      <c r="R763" s="2025"/>
      <c r="S763" s="2025"/>
    </row>
    <row r="764" spans="1:19" s="474" customFormat="1" ht="15" hidden="1">
      <c r="A764" s="2050"/>
      <c r="B764" s="2051"/>
      <c r="C764" s="2051"/>
      <c r="D764" s="2051"/>
      <c r="E764" s="2052"/>
      <c r="F764" s="2052"/>
      <c r="G764" s="2065" t="s">
        <v>575</v>
      </c>
      <c r="H764" s="2052"/>
      <c r="I764" s="2052"/>
      <c r="J764" s="2052" t="str">
        <f>"G*"&amp;'THCP xay dung'!F199*100&amp;"%"</f>
        <v>G*10%</v>
      </c>
      <c r="K764" s="2055"/>
      <c r="L764" s="2054"/>
      <c r="M764" s="2066">
        <f ca="1">M763*'THCP xay dung'!F199*100%</f>
        <v>150789.18700000001</v>
      </c>
      <c r="N764" s="2056"/>
      <c r="O764" s="2057"/>
      <c r="P764" s="1952"/>
      <c r="Q764" s="2025"/>
      <c r="R764" s="2025"/>
      <c r="S764" s="2025"/>
    </row>
    <row r="765" spans="1:19" s="474" customFormat="1" ht="15" hidden="1">
      <c r="A765" s="2050"/>
      <c r="B765" s="2051"/>
      <c r="C765" s="2051"/>
      <c r="D765" s="2051"/>
      <c r="E765" s="2052"/>
      <c r="F765" s="2052"/>
      <c r="G765" s="2065" t="s">
        <v>117</v>
      </c>
      <c r="H765" s="2052"/>
      <c r="I765" s="2052"/>
      <c r="J765" s="2052" t="s">
        <v>596</v>
      </c>
      <c r="K765" s="2055"/>
      <c r="L765" s="2054"/>
      <c r="M765" s="2066">
        <f ca="1">M763+M764</f>
        <v>1658681.057</v>
      </c>
      <c r="N765" s="2056"/>
      <c r="O765" s="2057"/>
      <c r="P765" s="1952"/>
      <c r="Q765" s="2025"/>
      <c r="R765" s="2025"/>
      <c r="S765" s="2025"/>
    </row>
    <row r="766" spans="1:19" s="474" customFormat="1" ht="15" hidden="1">
      <c r="A766" s="2050"/>
      <c r="B766" s="2051"/>
      <c r="C766" s="2051"/>
      <c r="D766" s="2051"/>
      <c r="E766" s="2052"/>
      <c r="F766" s="2052"/>
      <c r="G766" s="2065" t="s">
        <v>168</v>
      </c>
      <c r="H766" s="2052"/>
      <c r="I766" s="2052"/>
      <c r="J766" s="2052" t="str">
        <f ca="1">"GXD*"&amp;'THCP xay dung'!F201*100&amp;"%"</f>
        <v>GXD*6%</v>
      </c>
      <c r="K766" s="2055"/>
      <c r="L766" s="2054"/>
      <c r="M766" s="2066">
        <f ca="1">M765*'THCP xay dung'!F201*100%</f>
        <v>99520.863419999994</v>
      </c>
      <c r="N766" s="2056"/>
      <c r="O766" s="2057"/>
      <c r="P766" s="1952"/>
      <c r="Q766" s="2025"/>
      <c r="R766" s="2025"/>
      <c r="S766" s="2025"/>
    </row>
    <row r="767" spans="1:19" s="474" customFormat="1" ht="15" hidden="1">
      <c r="A767" s="2090" t="s">
        <v>304</v>
      </c>
      <c r="B767" s="2091"/>
      <c r="C767" s="2091"/>
      <c r="D767" s="2091"/>
      <c r="E767" s="2092"/>
      <c r="F767" s="2092"/>
      <c r="G767" s="2075" t="s">
        <v>1837</v>
      </c>
      <c r="H767" s="2060"/>
      <c r="I767" s="2060"/>
      <c r="J767" s="2060" t="s">
        <v>1636</v>
      </c>
      <c r="K767" s="2062"/>
      <c r="L767" s="2061"/>
      <c r="M767" s="2074">
        <f ca="1">M765+M766</f>
        <v>1758201.9204200001</v>
      </c>
      <c r="N767" s="2063"/>
      <c r="O767" s="2064"/>
      <c r="P767" s="1952"/>
      <c r="Q767" s="2025"/>
      <c r="R767" s="2025"/>
      <c r="S767" s="2025"/>
    </row>
    <row r="768" spans="1:19" s="474" customFormat="1" ht="30">
      <c r="A768" s="2093">
        <v>99</v>
      </c>
      <c r="B768" s="2094">
        <f>'Du toan XD'!B298</f>
        <v>4</v>
      </c>
      <c r="C768" s="2094"/>
      <c r="D768" s="2155" t="str">
        <f>'Du toan XD'!D298</f>
        <v>TT</v>
      </c>
      <c r="E768" s="2093" t="s">
        <v>33</v>
      </c>
      <c r="F768" s="2093"/>
      <c r="G768" s="2114" t="str">
        <f>'Du toan XD'!F298</f>
        <v>Vách kính nhôm Việt - Pháp hoặc Xingfa</v>
      </c>
      <c r="H768" s="2093" t="str">
        <f>'Du toan XD'!G298</f>
        <v>ĐVT</v>
      </c>
      <c r="I768" s="2093">
        <f>'Du toan XD'!H298</f>
        <v>2.9159999999999999</v>
      </c>
      <c r="J768" s="2095"/>
      <c r="K768" s="2096"/>
      <c r="L768" s="2097"/>
      <c r="M768" s="2096"/>
      <c r="N768" s="2098"/>
      <c r="O768" s="2098"/>
      <c r="P768" s="1952"/>
      <c r="Q768" s="2025"/>
      <c r="R768" s="2025"/>
      <c r="S768" s="2025"/>
    </row>
    <row r="769" spans="1:19" s="474" customFormat="1" ht="15">
      <c r="A769" s="2099"/>
      <c r="B769" s="2100"/>
      <c r="C769" s="2100"/>
      <c r="D769" s="2100"/>
      <c r="E769" s="2099"/>
      <c r="F769" s="2099"/>
      <c r="G769" s="2116" t="s">
        <v>224</v>
      </c>
      <c r="H769" s="2116"/>
      <c r="I769" s="2116"/>
      <c r="J769" s="2117">
        <f>Config!C36</f>
        <v>1</v>
      </c>
      <c r="K769" s="2118"/>
      <c r="L769" s="2119"/>
      <c r="M769" s="2118">
        <v>1201500</v>
      </c>
      <c r="N769" s="2106"/>
      <c r="O769" s="2106"/>
      <c r="P769" s="1952"/>
      <c r="Q769" s="2025"/>
      <c r="R769" s="2025"/>
      <c r="S769" s="2025"/>
    </row>
    <row r="770" spans="1:19" s="474" customFormat="1" ht="15">
      <c r="A770" s="2099"/>
      <c r="B770" s="2100"/>
      <c r="C770" s="2100"/>
      <c r="D770" s="2100"/>
      <c r="E770" s="2099"/>
      <c r="F770" s="2099"/>
      <c r="G770" s="2116" t="s">
        <v>225</v>
      </c>
      <c r="H770" s="2116"/>
      <c r="I770" s="2116"/>
      <c r="J770" s="2117">
        <f>Config!C37</f>
        <v>1</v>
      </c>
      <c r="K770" s="2118"/>
      <c r="L770" s="2119"/>
      <c r="M770" s="2118">
        <f>ROUND(J770*K770,Config!C103)</f>
        <v>0</v>
      </c>
      <c r="N770" s="2106"/>
      <c r="O770" s="2106"/>
      <c r="P770" s="1952"/>
      <c r="Q770" s="2025"/>
      <c r="R770" s="2025"/>
      <c r="S770" s="2025"/>
    </row>
    <row r="771" spans="1:19" s="474" customFormat="1" ht="15">
      <c r="A771" s="2099"/>
      <c r="B771" s="2100"/>
      <c r="C771" s="2100"/>
      <c r="D771" s="2100"/>
      <c r="E771" s="2099"/>
      <c r="F771" s="2099"/>
      <c r="G771" s="2116" t="s">
        <v>228</v>
      </c>
      <c r="H771" s="2116"/>
      <c r="I771" s="2116"/>
      <c r="J771" s="2117">
        <f>Config!C38</f>
        <v>1</v>
      </c>
      <c r="K771" s="2118"/>
      <c r="L771" s="2119"/>
      <c r="M771" s="2118">
        <f>ROUND(J771*K771,Config!C103)</f>
        <v>0</v>
      </c>
      <c r="N771" s="2106"/>
      <c r="O771" s="2106"/>
      <c r="P771" s="1952"/>
      <c r="Q771" s="2025"/>
      <c r="R771" s="2025"/>
      <c r="S771" s="2025"/>
    </row>
    <row r="772" spans="1:19" s="474" customFormat="1" ht="15" hidden="1">
      <c r="A772" s="2099"/>
      <c r="B772" s="2100"/>
      <c r="C772" s="2100"/>
      <c r="D772" s="2100"/>
      <c r="E772" s="2099"/>
      <c r="F772" s="2099"/>
      <c r="G772" s="2101" t="s">
        <v>109</v>
      </c>
      <c r="H772" s="2099"/>
      <c r="I772" s="2099"/>
      <c r="J772" s="2099" t="s">
        <v>333</v>
      </c>
      <c r="K772" s="2103"/>
      <c r="L772" s="2104"/>
      <c r="M772" s="2105">
        <f>M769+M770+M771</f>
        <v>1201500</v>
      </c>
      <c r="N772" s="2106"/>
      <c r="O772" s="2106"/>
      <c r="P772" s="1952"/>
      <c r="Q772" s="2025"/>
      <c r="R772" s="2025"/>
      <c r="S772" s="2025"/>
    </row>
    <row r="773" spans="1:19" s="474" customFormat="1" ht="15" hidden="1">
      <c r="A773" s="2099"/>
      <c r="B773" s="2100"/>
      <c r="C773" s="2100"/>
      <c r="D773" s="2100"/>
      <c r="E773" s="2099"/>
      <c r="F773" s="2099"/>
      <c r="G773" s="2101" t="s">
        <v>378</v>
      </c>
      <c r="H773" s="2099"/>
      <c r="I773" s="2099"/>
      <c r="J773" s="2099" t="str">
        <f ca="1">"T*"&amp;'THCP xay dung'!F193*100&amp;"%"</f>
        <v>T*6,2%</v>
      </c>
      <c r="K773" s="2103"/>
      <c r="L773" s="2104"/>
      <c r="M773" s="2105">
        <f ca="1">M772*'THCP xay dung'!F193*100%</f>
        <v>74493</v>
      </c>
      <c r="N773" s="2106"/>
      <c r="O773" s="2106"/>
      <c r="P773" s="1952"/>
      <c r="Q773" s="2025"/>
      <c r="R773" s="2025"/>
      <c r="S773" s="2025"/>
    </row>
    <row r="774" spans="1:19" s="474" customFormat="1" ht="28.5" hidden="1">
      <c r="A774" s="2099"/>
      <c r="B774" s="2100"/>
      <c r="C774" s="2100"/>
      <c r="D774" s="2100"/>
      <c r="E774" s="2099"/>
      <c r="F774" s="2099"/>
      <c r="G774" s="2101" t="s">
        <v>702</v>
      </c>
      <c r="H774" s="2099"/>
      <c r="I774" s="2099"/>
      <c r="J774" s="2099" t="str">
        <f>IF('THCP xay dung'!G194&lt;&gt;1,"T*"&amp;'THCP xay dung'!F194*100&amp;"%"&amp;"*"&amp;'THCP xay dung'!G194,"T*"&amp;'THCP xay dung'!F194*100&amp;"%")</f>
        <v>T*1,1%</v>
      </c>
      <c r="K774" s="2103"/>
      <c r="L774" s="2104"/>
      <c r="M774" s="2105">
        <f>IF('THCP xay dung'!G194&lt;&gt;1,M772*'THCP xay dung'!F194*100%*'THCP xay dung'!G194,M772*'THCP xay dung'!F194*100%)</f>
        <v>13216.500000000002</v>
      </c>
      <c r="N774" s="2106"/>
      <c r="O774" s="2106"/>
      <c r="P774" s="1952"/>
      <c r="Q774" s="2025"/>
      <c r="R774" s="2025"/>
      <c r="S774" s="2025"/>
    </row>
    <row r="775" spans="1:19" s="474" customFormat="1" ht="42.75" hidden="1">
      <c r="A775" s="2099"/>
      <c r="B775" s="2100"/>
      <c r="C775" s="2100"/>
      <c r="D775" s="2100"/>
      <c r="E775" s="2099"/>
      <c r="F775" s="2099"/>
      <c r="G775" s="2101" t="s">
        <v>703</v>
      </c>
      <c r="H775" s="2099"/>
      <c r="I775" s="2099"/>
      <c r="J775" s="2099" t="str">
        <f ca="1">"T*"&amp;'THCP xay dung'!F195*100&amp;"%"</f>
        <v>T*2%</v>
      </c>
      <c r="K775" s="2103"/>
      <c r="L775" s="2104"/>
      <c r="M775" s="2105">
        <f ca="1">M772*'THCP xay dung'!F195*100%</f>
        <v>24030</v>
      </c>
      <c r="N775" s="2106"/>
      <c r="O775" s="2106"/>
      <c r="P775" s="1952"/>
      <c r="Q775" s="2025"/>
      <c r="R775" s="2025"/>
      <c r="S775" s="2025"/>
    </row>
    <row r="776" spans="1:19" s="474" customFormat="1" ht="15" hidden="1">
      <c r="A776" s="2099"/>
      <c r="B776" s="2100"/>
      <c r="C776" s="2100"/>
      <c r="D776" s="2100"/>
      <c r="E776" s="2099"/>
      <c r="F776" s="2099"/>
      <c r="G776" s="2101" t="s">
        <v>701</v>
      </c>
      <c r="H776" s="2099"/>
      <c r="I776" s="2099"/>
      <c r="J776" s="2099" t="s">
        <v>931</v>
      </c>
      <c r="K776" s="2103"/>
      <c r="L776" s="2104"/>
      <c r="M776" s="2105">
        <f ca="1">M773+M774+M775</f>
        <v>111739.5</v>
      </c>
      <c r="N776" s="2106"/>
      <c r="O776" s="2106"/>
      <c r="P776" s="1952"/>
      <c r="Q776" s="2025"/>
      <c r="R776" s="2025"/>
      <c r="S776" s="2025"/>
    </row>
    <row r="777" spans="1:19" s="474" customFormat="1" ht="15" hidden="1">
      <c r="A777" s="2099"/>
      <c r="B777" s="2100"/>
      <c r="C777" s="2100"/>
      <c r="D777" s="2100"/>
      <c r="E777" s="2099"/>
      <c r="F777" s="2099"/>
      <c r="G777" s="2101" t="s">
        <v>574</v>
      </c>
      <c r="H777" s="2099"/>
      <c r="I777" s="2099"/>
      <c r="J777" s="2099" t="str">
        <f ca="1">"(T+GT)*"&amp;'THCP xay dung'!F197*100&amp;"%"</f>
        <v>(T+GT)*6%</v>
      </c>
      <c r="K777" s="2103"/>
      <c r="L777" s="2104"/>
      <c r="M777" s="2105">
        <f ca="1">(M772+M776)*'THCP xay dung'!F197*100%</f>
        <v>78794.37</v>
      </c>
      <c r="N777" s="2106"/>
      <c r="O777" s="2106"/>
      <c r="P777" s="1952"/>
      <c r="Q777" s="2025"/>
      <c r="R777" s="2025"/>
      <c r="S777" s="2025"/>
    </row>
    <row r="778" spans="1:19" s="474" customFormat="1" ht="15" hidden="1">
      <c r="A778" s="2099"/>
      <c r="B778" s="2100"/>
      <c r="C778" s="2100"/>
      <c r="D778" s="2100"/>
      <c r="E778" s="2099"/>
      <c r="F778" s="2099"/>
      <c r="G778" s="2101" t="s">
        <v>113</v>
      </c>
      <c r="H778" s="2099"/>
      <c r="I778" s="2099"/>
      <c r="J778" s="2099" t="s">
        <v>705</v>
      </c>
      <c r="K778" s="2103"/>
      <c r="L778" s="2104"/>
      <c r="M778" s="2105">
        <f ca="1">M772+M776+M777</f>
        <v>1392033.87</v>
      </c>
      <c r="N778" s="2106"/>
      <c r="O778" s="2106"/>
      <c r="P778" s="1952"/>
      <c r="Q778" s="2025"/>
      <c r="R778" s="2025"/>
      <c r="S778" s="2025"/>
    </row>
    <row r="779" spans="1:19" s="474" customFormat="1" ht="15" hidden="1">
      <c r="A779" s="2099"/>
      <c r="B779" s="2100"/>
      <c r="C779" s="2100"/>
      <c r="D779" s="2100"/>
      <c r="E779" s="2099"/>
      <c r="F779" s="2099"/>
      <c r="G779" s="2101" t="s">
        <v>575</v>
      </c>
      <c r="H779" s="2099"/>
      <c r="I779" s="2099"/>
      <c r="J779" s="2099" t="str">
        <f>"G*"&amp;'THCP xay dung'!F199*100&amp;"%"</f>
        <v>G*10%</v>
      </c>
      <c r="K779" s="2103"/>
      <c r="L779" s="2104"/>
      <c r="M779" s="2105">
        <f ca="1">M778*'THCP xay dung'!F199*100%</f>
        <v>139203.38700000002</v>
      </c>
      <c r="N779" s="2106"/>
      <c r="O779" s="2106"/>
      <c r="P779" s="1952"/>
      <c r="Q779" s="2025"/>
      <c r="R779" s="2025"/>
      <c r="S779" s="2025"/>
    </row>
    <row r="780" spans="1:19" s="474" customFormat="1" ht="15" hidden="1">
      <c r="A780" s="2099"/>
      <c r="B780" s="2100"/>
      <c r="C780" s="2100"/>
      <c r="D780" s="2100"/>
      <c r="E780" s="2099"/>
      <c r="F780" s="2099"/>
      <c r="G780" s="2101" t="s">
        <v>117</v>
      </c>
      <c r="H780" s="2099"/>
      <c r="I780" s="2099"/>
      <c r="J780" s="2099" t="s">
        <v>596</v>
      </c>
      <c r="K780" s="2103"/>
      <c r="L780" s="2104"/>
      <c r="M780" s="2105">
        <f ca="1">M778+M779</f>
        <v>1531237.2570000002</v>
      </c>
      <c r="N780" s="2106"/>
      <c r="O780" s="2106"/>
      <c r="P780" s="1952"/>
      <c r="Q780" s="2025"/>
      <c r="R780" s="2025"/>
      <c r="S780" s="2025"/>
    </row>
    <row r="781" spans="1:19" s="474" customFormat="1" ht="15" hidden="1">
      <c r="A781" s="2099"/>
      <c r="B781" s="2100"/>
      <c r="C781" s="2100"/>
      <c r="D781" s="2100"/>
      <c r="E781" s="2099"/>
      <c r="F781" s="2099"/>
      <c r="G781" s="2101" t="s">
        <v>168</v>
      </c>
      <c r="H781" s="2099"/>
      <c r="I781" s="2099"/>
      <c r="J781" s="2099" t="str">
        <f ca="1">"GXD*"&amp;'THCP xay dung'!F201*100&amp;"%"</f>
        <v>GXD*6%</v>
      </c>
      <c r="K781" s="2103"/>
      <c r="L781" s="2104"/>
      <c r="M781" s="2105">
        <f ca="1">M780*'THCP xay dung'!F201*100%</f>
        <v>91874.235420000012</v>
      </c>
      <c r="N781" s="2106"/>
      <c r="O781" s="2106"/>
      <c r="P781" s="1952"/>
      <c r="Q781" s="2025"/>
      <c r="R781" s="2025"/>
      <c r="S781" s="2025"/>
    </row>
    <row r="782" spans="1:19" s="474" customFormat="1" ht="15" hidden="1">
      <c r="A782" s="2122" t="s">
        <v>304</v>
      </c>
      <c r="B782" s="2123"/>
      <c r="C782" s="2123"/>
      <c r="D782" s="2123"/>
      <c r="E782" s="2122"/>
      <c r="F782" s="2122"/>
      <c r="G782" s="2109" t="s">
        <v>1837</v>
      </c>
      <c r="H782" s="2107"/>
      <c r="I782" s="2107"/>
      <c r="J782" s="2107" t="s">
        <v>1636</v>
      </c>
      <c r="K782" s="2110"/>
      <c r="L782" s="2111"/>
      <c r="M782" s="2112">
        <f ca="1">M780+M781</f>
        <v>1623111.4924200003</v>
      </c>
      <c r="N782" s="2113"/>
      <c r="O782" s="2113"/>
      <c r="P782" s="1952"/>
      <c r="Q782" s="2025"/>
      <c r="R782" s="2025"/>
      <c r="S782" s="2025"/>
    </row>
    <row r="783" spans="1:19" s="474" customFormat="1" ht="15">
      <c r="A783" s="2124">
        <v>100</v>
      </c>
      <c r="B783" s="2125">
        <f>'Du toan XD'!B300</f>
        <v>5</v>
      </c>
      <c r="C783" s="2125"/>
      <c r="D783" s="2125" t="s">
        <v>1569</v>
      </c>
      <c r="E783" s="2126" t="s">
        <v>1569</v>
      </c>
      <c r="F783" s="2126"/>
      <c r="G783" s="2132" t="str">
        <f>'Du toan XD'!F300</f>
        <v>Gia công cửa sắt, hoa sắt</v>
      </c>
      <c r="H783" s="2126" t="str">
        <f>'Du toan XD'!G300</f>
        <v>tấn</v>
      </c>
      <c r="I783" s="2126">
        <f>'Du toan XD'!H300</f>
        <v>0.16769999999999999</v>
      </c>
      <c r="J783" s="2127"/>
      <c r="K783" s="2128"/>
      <c r="L783" s="2129"/>
      <c r="M783" s="2128"/>
      <c r="N783" s="2130"/>
      <c r="O783" s="2131"/>
      <c r="P783" s="1952">
        <f>M784</f>
        <v>22656861</v>
      </c>
      <c r="Q783" s="2025"/>
      <c r="R783" s="2025">
        <f>M789</f>
        <v>4722734</v>
      </c>
      <c r="S783" s="2025">
        <f>M791</f>
        <v>440561</v>
      </c>
    </row>
    <row r="784" spans="1:19" s="474" customFormat="1" ht="15">
      <c r="A784" s="2050"/>
      <c r="B784" s="2051"/>
      <c r="C784" s="2051"/>
      <c r="D784" s="2051"/>
      <c r="E784" s="2052"/>
      <c r="F784" s="2052"/>
      <c r="G784" s="2067" t="s">
        <v>224</v>
      </c>
      <c r="H784" s="2067"/>
      <c r="I784" s="2067"/>
      <c r="J784" s="2134"/>
      <c r="K784" s="2069"/>
      <c r="L784" s="2070"/>
      <c r="M784" s="2069">
        <f>ROUND(SUM(M785:M788),Config!C103)</f>
        <v>22656861</v>
      </c>
      <c r="N784" s="2056"/>
      <c r="O784" s="2057"/>
      <c r="P784" s="1952"/>
      <c r="Q784" s="2025"/>
      <c r="R784" s="2025"/>
      <c r="S784" s="2025"/>
    </row>
    <row r="785" spans="1:19" s="474" customFormat="1" ht="15">
      <c r="A785" s="2050"/>
      <c r="B785" s="2051"/>
      <c r="C785" s="2051"/>
      <c r="D785" s="2051"/>
      <c r="E785" s="2052"/>
      <c r="F785" s="2052" t="s">
        <v>1986</v>
      </c>
      <c r="G785" s="2053" t="s">
        <v>1987</v>
      </c>
      <c r="H785" s="2052" t="s">
        <v>1856</v>
      </c>
      <c r="I785" s="2052"/>
      <c r="J785" s="2073">
        <v>1010</v>
      </c>
      <c r="K785" s="2170">
        <f>'TH vat tu XD'!G161</f>
        <v>22100</v>
      </c>
      <c r="L785" s="2054"/>
      <c r="M785" s="2055">
        <f>IF(L785=0,J785*K785,J785*K785*L785)</f>
        <v>22321000</v>
      </c>
      <c r="N785" s="2056">
        <f>IF(L785=0,I783*J785,I783*J785*L785)</f>
        <v>169.37699999999998</v>
      </c>
      <c r="O785" s="2057">
        <f>J788%*N785</f>
        <v>0.84688499999999989</v>
      </c>
      <c r="P785" s="1952"/>
      <c r="Q785" s="2025"/>
      <c r="R785" s="2025"/>
      <c r="S785" s="2025"/>
    </row>
    <row r="786" spans="1:19" s="474" customFormat="1" ht="15">
      <c r="A786" s="2050"/>
      <c r="B786" s="2051"/>
      <c r="C786" s="2051"/>
      <c r="D786" s="2051"/>
      <c r="E786" s="2052"/>
      <c r="F786" s="2052" t="s">
        <v>1894</v>
      </c>
      <c r="G786" s="2053" t="s">
        <v>1895</v>
      </c>
      <c r="H786" s="2052" t="s">
        <v>1856</v>
      </c>
      <c r="I786" s="2052"/>
      <c r="J786" s="2073">
        <v>9.3800000000000008</v>
      </c>
      <c r="K786" s="2170">
        <f>'TH vat tu XD'!G160</f>
        <v>21000</v>
      </c>
      <c r="L786" s="2054"/>
      <c r="M786" s="2055">
        <f>IF(L786=0,J786*K786,J786*K786*L786)</f>
        <v>196980.00000000003</v>
      </c>
      <c r="N786" s="2056">
        <f>IF(L786=0,I783*J786,I783*J786*L786)</f>
        <v>1.573026</v>
      </c>
      <c r="O786" s="2057">
        <f>J788%*N786</f>
        <v>7.8651299999999997E-3</v>
      </c>
      <c r="P786" s="1952"/>
      <c r="Q786" s="2025"/>
      <c r="R786" s="2025"/>
      <c r="S786" s="2025"/>
    </row>
    <row r="787" spans="1:19" s="474" customFormat="1" ht="15">
      <c r="A787" s="2050"/>
      <c r="B787" s="2051"/>
      <c r="C787" s="2051"/>
      <c r="D787" s="2051"/>
      <c r="E787" s="2052"/>
      <c r="F787" s="2052" t="s">
        <v>1988</v>
      </c>
      <c r="G787" s="2053" t="s">
        <v>1989</v>
      </c>
      <c r="H787" s="2052" t="s">
        <v>1939</v>
      </c>
      <c r="I787" s="2052"/>
      <c r="J787" s="2073">
        <v>3.27</v>
      </c>
      <c r="K787" s="2170">
        <f>'TH vat tu XD'!G158</f>
        <v>8000</v>
      </c>
      <c r="L787" s="2054"/>
      <c r="M787" s="2055">
        <f>IF(L787=0,J787*K787,J787*K787*L787)</f>
        <v>26160</v>
      </c>
      <c r="N787" s="2056">
        <f>IF(L787=0,I783*J787,I783*J787*L787)</f>
        <v>0.54837899999999995</v>
      </c>
      <c r="O787" s="2057">
        <f>J788%*N787</f>
        <v>2.7418949999999998E-3</v>
      </c>
      <c r="P787" s="1952"/>
      <c r="Q787" s="2025"/>
      <c r="R787" s="2025"/>
      <c r="S787" s="2025"/>
    </row>
    <row r="788" spans="1:19" s="474" customFormat="1" ht="15">
      <c r="A788" s="2050"/>
      <c r="B788" s="2051"/>
      <c r="C788" s="2051"/>
      <c r="D788" s="2051"/>
      <c r="E788" s="2052"/>
      <c r="F788" s="2052" t="s">
        <v>1882</v>
      </c>
      <c r="G788" s="2053" t="s">
        <v>226</v>
      </c>
      <c r="H788" s="2052" t="s">
        <v>1850</v>
      </c>
      <c r="I788" s="2052"/>
      <c r="J788" s="2073">
        <v>0.5</v>
      </c>
      <c r="K788" s="2055"/>
      <c r="L788" s="2054"/>
      <c r="M788" s="2055">
        <f>SUM(M785:M787)*J788%</f>
        <v>112720.7</v>
      </c>
      <c r="N788" s="2056"/>
      <c r="O788" s="2057"/>
      <c r="P788" s="1952"/>
      <c r="Q788" s="2025"/>
      <c r="R788" s="2025"/>
      <c r="S788" s="2025"/>
    </row>
    <row r="789" spans="1:19" s="474" customFormat="1" ht="15">
      <c r="A789" s="2050"/>
      <c r="B789" s="2051"/>
      <c r="C789" s="2051"/>
      <c r="D789" s="2051"/>
      <c r="E789" s="2052"/>
      <c r="F789" s="2052"/>
      <c r="G789" s="2067" t="s">
        <v>225</v>
      </c>
      <c r="H789" s="2067"/>
      <c r="I789" s="2067"/>
      <c r="J789" s="2134"/>
      <c r="K789" s="2069"/>
      <c r="L789" s="2070"/>
      <c r="M789" s="2069">
        <f>ROUND(SUM(M790:M790),Config!C103)</f>
        <v>4722734</v>
      </c>
      <c r="N789" s="2056"/>
      <c r="O789" s="2057"/>
      <c r="P789" s="1952"/>
      <c r="Q789" s="2025"/>
      <c r="R789" s="2025"/>
      <c r="S789" s="2025"/>
    </row>
    <row r="790" spans="1:19" s="474" customFormat="1" ht="15">
      <c r="A790" s="2050"/>
      <c r="B790" s="2051"/>
      <c r="C790" s="2051"/>
      <c r="D790" s="2051"/>
      <c r="E790" s="2052"/>
      <c r="F790" s="2052" t="s">
        <v>1951</v>
      </c>
      <c r="G790" s="2053" t="s">
        <v>1952</v>
      </c>
      <c r="H790" s="2052" t="s">
        <v>1833</v>
      </c>
      <c r="I790" s="2052"/>
      <c r="J790" s="2073">
        <v>19.04</v>
      </c>
      <c r="K790" s="2170">
        <f>'TH vat tu XD'!G165</f>
        <v>248042.76315789475</v>
      </c>
      <c r="L790" s="2054"/>
      <c r="M790" s="2055">
        <f>IF(L790=0,J790*K790,J790*K790*L790)</f>
        <v>4722734.2105263155</v>
      </c>
      <c r="N790" s="2056">
        <f>IF(L790=0,I783*J790,I783*J790*L790)</f>
        <v>3.1930079999999998</v>
      </c>
      <c r="O790" s="2057"/>
      <c r="P790" s="1952"/>
      <c r="Q790" s="2025"/>
      <c r="R790" s="2025"/>
      <c r="S790" s="2025"/>
    </row>
    <row r="791" spans="1:19" s="474" customFormat="1" ht="15">
      <c r="A791" s="2050"/>
      <c r="B791" s="2051"/>
      <c r="C791" s="2051"/>
      <c r="D791" s="2051"/>
      <c r="E791" s="2052"/>
      <c r="F791" s="2052"/>
      <c r="G791" s="2067" t="s">
        <v>228</v>
      </c>
      <c r="H791" s="2067"/>
      <c r="I791" s="2067"/>
      <c r="J791" s="2134"/>
      <c r="K791" s="2069"/>
      <c r="L791" s="2070"/>
      <c r="M791" s="2069">
        <f>ROUND(SUM(M792:M795),Config!C103)</f>
        <v>440561</v>
      </c>
      <c r="N791" s="2056"/>
      <c r="O791" s="2057"/>
      <c r="P791" s="1952"/>
      <c r="Q791" s="2025"/>
      <c r="R791" s="2025"/>
      <c r="S791" s="2025"/>
    </row>
    <row r="792" spans="1:19" s="474" customFormat="1" ht="15">
      <c r="A792" s="2050"/>
      <c r="B792" s="2051"/>
      <c r="C792" s="2051"/>
      <c r="D792" s="2051"/>
      <c r="E792" s="2052"/>
      <c r="F792" s="2052" t="s">
        <v>1896</v>
      </c>
      <c r="G792" s="2053" t="s">
        <v>1897</v>
      </c>
      <c r="H792" s="2052" t="s">
        <v>1836</v>
      </c>
      <c r="I792" s="2052"/>
      <c r="J792" s="2073">
        <v>2.64</v>
      </c>
      <c r="K792" s="2170">
        <f>'TH vat tu XD'!G168</f>
        <v>120198</v>
      </c>
      <c r="L792" s="2054"/>
      <c r="M792" s="2055">
        <f>IF(L792=0,J792*K792,J792*K792*L792)</f>
        <v>317322.72000000003</v>
      </c>
      <c r="N792" s="2056">
        <f>IF(L792=0,I783*J792,I783*J792*L792)</f>
        <v>0.44272800000000001</v>
      </c>
      <c r="O792" s="2057">
        <f>J795%*N792</f>
        <v>4.4272800000000005E-3</v>
      </c>
      <c r="P792" s="1952"/>
      <c r="Q792" s="2025"/>
      <c r="R792" s="2025"/>
      <c r="S792" s="2025"/>
    </row>
    <row r="793" spans="1:19" s="474" customFormat="1" ht="15">
      <c r="A793" s="2050"/>
      <c r="B793" s="2051"/>
      <c r="C793" s="2051"/>
      <c r="D793" s="2051"/>
      <c r="E793" s="2052"/>
      <c r="F793" s="2052" t="s">
        <v>1990</v>
      </c>
      <c r="G793" s="2053" t="s">
        <v>1991</v>
      </c>
      <c r="H793" s="2052" t="s">
        <v>1836</v>
      </c>
      <c r="I793" s="2052"/>
      <c r="J793" s="2073">
        <v>2.21</v>
      </c>
      <c r="K793" s="2170">
        <f>'TH vat tu XD'!G169</f>
        <v>19114</v>
      </c>
      <c r="L793" s="2054"/>
      <c r="M793" s="2055">
        <f>IF(L793=0,J793*K793,J793*K793*L793)</f>
        <v>42241.94</v>
      </c>
      <c r="N793" s="2056">
        <f>IF(L793=0,I783*J793,I783*J793*L793)</f>
        <v>0.37061699999999997</v>
      </c>
      <c r="O793" s="2057">
        <f>J795%*N793</f>
        <v>3.70617E-3</v>
      </c>
      <c r="P793" s="1952"/>
      <c r="Q793" s="2025"/>
      <c r="R793" s="2025"/>
      <c r="S793" s="2025"/>
    </row>
    <row r="794" spans="1:19" s="474" customFormat="1" ht="15">
      <c r="A794" s="2050"/>
      <c r="B794" s="2051"/>
      <c r="C794" s="2051"/>
      <c r="D794" s="2051"/>
      <c r="E794" s="2052"/>
      <c r="F794" s="2052" t="s">
        <v>1889</v>
      </c>
      <c r="G794" s="2053" t="s">
        <v>1890</v>
      </c>
      <c r="H794" s="2052" t="s">
        <v>1836</v>
      </c>
      <c r="I794" s="2052"/>
      <c r="J794" s="2073">
        <v>2.21</v>
      </c>
      <c r="K794" s="2170">
        <f>'TH vat tu XD'!G167</f>
        <v>34676</v>
      </c>
      <c r="L794" s="2054"/>
      <c r="M794" s="2055">
        <f>IF(L794=0,J794*K794,J794*K794*L794)</f>
        <v>76633.959999999992</v>
      </c>
      <c r="N794" s="2056">
        <f>IF(L794=0,I783*J794,I783*J794*L794)</f>
        <v>0.37061699999999997</v>
      </c>
      <c r="O794" s="2057">
        <f>J795%*N794</f>
        <v>3.70617E-3</v>
      </c>
      <c r="P794" s="1952"/>
      <c r="Q794" s="2025"/>
      <c r="R794" s="2025"/>
      <c r="S794" s="2025"/>
    </row>
    <row r="795" spans="1:19" s="474" customFormat="1" ht="15">
      <c r="A795" s="2050"/>
      <c r="B795" s="2051"/>
      <c r="C795" s="2051"/>
      <c r="D795" s="2051"/>
      <c r="E795" s="2052"/>
      <c r="F795" s="2052" t="s">
        <v>1849</v>
      </c>
      <c r="G795" s="2053" t="s">
        <v>227</v>
      </c>
      <c r="H795" s="2052" t="s">
        <v>1850</v>
      </c>
      <c r="I795" s="2052"/>
      <c r="J795" s="2073">
        <v>1</v>
      </c>
      <c r="K795" s="2055"/>
      <c r="L795" s="2054"/>
      <c r="M795" s="2055">
        <f>SUM(M792:M794)*J795%</f>
        <v>4361.9862000000003</v>
      </c>
      <c r="N795" s="2056"/>
      <c r="O795" s="2057"/>
      <c r="P795" s="1952"/>
      <c r="Q795" s="2025"/>
      <c r="R795" s="2025"/>
      <c r="S795" s="2025"/>
    </row>
    <row r="796" spans="1:19" s="474" customFormat="1" ht="15" hidden="1">
      <c r="A796" s="2050"/>
      <c r="B796" s="2051"/>
      <c r="C796" s="2051"/>
      <c r="D796" s="2051"/>
      <c r="E796" s="2052"/>
      <c r="F796" s="2052"/>
      <c r="G796" s="2065" t="s">
        <v>109</v>
      </c>
      <c r="H796" s="2052"/>
      <c r="I796" s="2052"/>
      <c r="J796" s="2052" t="s">
        <v>333</v>
      </c>
      <c r="K796" s="2055"/>
      <c r="L796" s="2054"/>
      <c r="M796" s="2066">
        <f>M784+M789+M791</f>
        <v>27820156</v>
      </c>
      <c r="N796" s="2056"/>
      <c r="O796" s="2057"/>
      <c r="P796" s="1952"/>
      <c r="Q796" s="2025"/>
      <c r="R796" s="2025"/>
      <c r="S796" s="2025"/>
    </row>
    <row r="797" spans="1:19" s="474" customFormat="1" ht="15" hidden="1">
      <c r="A797" s="2050"/>
      <c r="B797" s="2051"/>
      <c r="C797" s="2051"/>
      <c r="D797" s="2051"/>
      <c r="E797" s="2052"/>
      <c r="F797" s="2052"/>
      <c r="G797" s="2065" t="s">
        <v>378</v>
      </c>
      <c r="H797" s="2052"/>
      <c r="I797" s="2052"/>
      <c r="J797" s="2052" t="str">
        <f ca="1">"T*"&amp;'THCP xay dung'!F193*100&amp;"%"</f>
        <v>T*6,2%</v>
      </c>
      <c r="K797" s="2055"/>
      <c r="L797" s="2054"/>
      <c r="M797" s="2066">
        <f ca="1">M796*'THCP xay dung'!F193*100%</f>
        <v>1724849.672</v>
      </c>
      <c r="N797" s="2056"/>
      <c r="O797" s="2057"/>
      <c r="P797" s="1952"/>
      <c r="Q797" s="2025"/>
      <c r="R797" s="2025"/>
      <c r="S797" s="2025"/>
    </row>
    <row r="798" spans="1:19" s="474" customFormat="1" ht="28.5" hidden="1">
      <c r="A798" s="2050"/>
      <c r="B798" s="2051"/>
      <c r="C798" s="2051"/>
      <c r="D798" s="2051"/>
      <c r="E798" s="2052"/>
      <c r="F798" s="2052"/>
      <c r="G798" s="2065" t="s">
        <v>702</v>
      </c>
      <c r="H798" s="2052"/>
      <c r="I798" s="2052"/>
      <c r="J798" s="2052" t="str">
        <f>IF('THCP xay dung'!G194&lt;&gt;1,"T*"&amp;'THCP xay dung'!F194*100&amp;"%"&amp;"*"&amp;'THCP xay dung'!G194,"T*"&amp;'THCP xay dung'!F194*100&amp;"%")</f>
        <v>T*1,1%</v>
      </c>
      <c r="K798" s="2055"/>
      <c r="L798" s="2054"/>
      <c r="M798" s="2066">
        <f>IF('THCP xay dung'!G194&lt;&gt;1,M796*'THCP xay dung'!F194*100%*'THCP xay dung'!G194,M796*'THCP xay dung'!F194*100%)</f>
        <v>306021.71600000001</v>
      </c>
      <c r="N798" s="2056"/>
      <c r="O798" s="2057"/>
      <c r="P798" s="1952"/>
      <c r="Q798" s="2025"/>
      <c r="R798" s="2025"/>
      <c r="S798" s="2025"/>
    </row>
    <row r="799" spans="1:19" s="474" customFormat="1" ht="42.75" hidden="1">
      <c r="A799" s="2050"/>
      <c r="B799" s="2051"/>
      <c r="C799" s="2051"/>
      <c r="D799" s="2051"/>
      <c r="E799" s="2052"/>
      <c r="F799" s="2052"/>
      <c r="G799" s="2065" t="s">
        <v>703</v>
      </c>
      <c r="H799" s="2052"/>
      <c r="I799" s="2052"/>
      <c r="J799" s="2052" t="str">
        <f ca="1">"T*"&amp;'THCP xay dung'!F195*100&amp;"%"</f>
        <v>T*2%</v>
      </c>
      <c r="K799" s="2055"/>
      <c r="L799" s="2054"/>
      <c r="M799" s="2066">
        <f ca="1">M796*'THCP xay dung'!F195*100%</f>
        <v>556403.12</v>
      </c>
      <c r="N799" s="2056"/>
      <c r="O799" s="2057"/>
      <c r="P799" s="1952"/>
      <c r="Q799" s="2025"/>
      <c r="R799" s="2025"/>
      <c r="S799" s="2025"/>
    </row>
    <row r="800" spans="1:19" s="474" customFormat="1" ht="15" hidden="1">
      <c r="A800" s="2050"/>
      <c r="B800" s="2051"/>
      <c r="C800" s="2051"/>
      <c r="D800" s="2051"/>
      <c r="E800" s="2052"/>
      <c r="F800" s="2052"/>
      <c r="G800" s="2065" t="s">
        <v>701</v>
      </c>
      <c r="H800" s="2052"/>
      <c r="I800" s="2052"/>
      <c r="J800" s="2052" t="s">
        <v>931</v>
      </c>
      <c r="K800" s="2055"/>
      <c r="L800" s="2054"/>
      <c r="M800" s="2066">
        <f ca="1">M797+M798+M799</f>
        <v>2587274.5079999999</v>
      </c>
      <c r="N800" s="2056"/>
      <c r="O800" s="2057"/>
      <c r="P800" s="1952"/>
      <c r="Q800" s="2025"/>
      <c r="R800" s="2025"/>
      <c r="S800" s="2025"/>
    </row>
    <row r="801" spans="1:19" s="474" customFormat="1" ht="15" hidden="1">
      <c r="A801" s="2050"/>
      <c r="B801" s="2051"/>
      <c r="C801" s="2051"/>
      <c r="D801" s="2051"/>
      <c r="E801" s="2052"/>
      <c r="F801" s="2052"/>
      <c r="G801" s="2065" t="s">
        <v>574</v>
      </c>
      <c r="H801" s="2052"/>
      <c r="I801" s="2052"/>
      <c r="J801" s="2052" t="str">
        <f ca="1">"(T+GT)*"&amp;'THCP xay dung'!F197*100&amp;"%"</f>
        <v>(T+GT)*6%</v>
      </c>
      <c r="K801" s="2055"/>
      <c r="L801" s="2054"/>
      <c r="M801" s="2066">
        <f ca="1">(M796+M800)*'THCP xay dung'!F197*100%</f>
        <v>1824445.83048</v>
      </c>
      <c r="N801" s="2056"/>
      <c r="O801" s="2057"/>
      <c r="P801" s="1952"/>
      <c r="Q801" s="2025"/>
      <c r="R801" s="2025"/>
      <c r="S801" s="2025"/>
    </row>
    <row r="802" spans="1:19" s="474" customFormat="1" ht="15" hidden="1">
      <c r="A802" s="2050"/>
      <c r="B802" s="2051"/>
      <c r="C802" s="2051"/>
      <c r="D802" s="2051"/>
      <c r="E802" s="2052"/>
      <c r="F802" s="2052"/>
      <c r="G802" s="2065" t="s">
        <v>113</v>
      </c>
      <c r="H802" s="2052"/>
      <c r="I802" s="2052"/>
      <c r="J802" s="2052" t="s">
        <v>705</v>
      </c>
      <c r="K802" s="2055"/>
      <c r="L802" s="2054"/>
      <c r="M802" s="2066">
        <f ca="1">M796+M800+M801</f>
        <v>32231876.338480003</v>
      </c>
      <c r="N802" s="2056"/>
      <c r="O802" s="2057"/>
      <c r="P802" s="1952"/>
      <c r="Q802" s="2025"/>
      <c r="R802" s="2025"/>
      <c r="S802" s="2025"/>
    </row>
    <row r="803" spans="1:19" s="474" customFormat="1" ht="15" hidden="1">
      <c r="A803" s="2050"/>
      <c r="B803" s="2051"/>
      <c r="C803" s="2051"/>
      <c r="D803" s="2051"/>
      <c r="E803" s="2052"/>
      <c r="F803" s="2052"/>
      <c r="G803" s="2065" t="s">
        <v>575</v>
      </c>
      <c r="H803" s="2052"/>
      <c r="I803" s="2052"/>
      <c r="J803" s="2052" t="str">
        <f>"G*"&amp;'THCP xay dung'!F199*100&amp;"%"</f>
        <v>G*10%</v>
      </c>
      <c r="K803" s="2055"/>
      <c r="L803" s="2054"/>
      <c r="M803" s="2066">
        <f ca="1">M802*'THCP xay dung'!F199*100%</f>
        <v>3223187.6338480003</v>
      </c>
      <c r="N803" s="2056"/>
      <c r="O803" s="2057"/>
      <c r="P803" s="1952"/>
      <c r="Q803" s="2025"/>
      <c r="R803" s="2025"/>
      <c r="S803" s="2025"/>
    </row>
    <row r="804" spans="1:19" s="474" customFormat="1" ht="15" hidden="1">
      <c r="A804" s="2050"/>
      <c r="B804" s="2051"/>
      <c r="C804" s="2051"/>
      <c r="D804" s="2051"/>
      <c r="E804" s="2052"/>
      <c r="F804" s="2052"/>
      <c r="G804" s="2065" t="s">
        <v>117</v>
      </c>
      <c r="H804" s="2052"/>
      <c r="I804" s="2052"/>
      <c r="J804" s="2052" t="s">
        <v>596</v>
      </c>
      <c r="K804" s="2055"/>
      <c r="L804" s="2054"/>
      <c r="M804" s="2066">
        <f ca="1">M802+M803</f>
        <v>35455063.972328007</v>
      </c>
      <c r="N804" s="2056"/>
      <c r="O804" s="2057"/>
      <c r="P804" s="1952"/>
      <c r="Q804" s="2025"/>
      <c r="R804" s="2025"/>
      <c r="S804" s="2025"/>
    </row>
    <row r="805" spans="1:19" s="474" customFormat="1" ht="15" hidden="1">
      <c r="A805" s="2050"/>
      <c r="B805" s="2051"/>
      <c r="C805" s="2051"/>
      <c r="D805" s="2051"/>
      <c r="E805" s="2052"/>
      <c r="F805" s="2052"/>
      <c r="G805" s="2065" t="s">
        <v>168</v>
      </c>
      <c r="H805" s="2052"/>
      <c r="I805" s="2052"/>
      <c r="J805" s="2052" t="str">
        <f ca="1">"GXD*"&amp;'THCP xay dung'!F201*100&amp;"%"</f>
        <v>GXD*6%</v>
      </c>
      <c r="K805" s="2055"/>
      <c r="L805" s="2054"/>
      <c r="M805" s="2066">
        <f ca="1">M804*'THCP xay dung'!F201*100%</f>
        <v>2127303.8383396803</v>
      </c>
      <c r="N805" s="2056"/>
      <c r="O805" s="2057"/>
      <c r="P805" s="1952"/>
      <c r="Q805" s="2025"/>
      <c r="R805" s="2025"/>
      <c r="S805" s="2025"/>
    </row>
    <row r="806" spans="1:19" s="474" customFormat="1" ht="15" hidden="1">
      <c r="A806" s="2090" t="s">
        <v>304</v>
      </c>
      <c r="B806" s="2091"/>
      <c r="C806" s="2091"/>
      <c r="D806" s="2091"/>
      <c r="E806" s="2092"/>
      <c r="F806" s="2092"/>
      <c r="G806" s="2075" t="s">
        <v>1837</v>
      </c>
      <c r="H806" s="2060"/>
      <c r="I806" s="2060"/>
      <c r="J806" s="2060" t="s">
        <v>1636</v>
      </c>
      <c r="K806" s="2062"/>
      <c r="L806" s="2061"/>
      <c r="M806" s="2074">
        <f ca="1">M804+M805</f>
        <v>37582367.810667686</v>
      </c>
      <c r="N806" s="2063"/>
      <c r="O806" s="2064"/>
      <c r="P806" s="1952"/>
      <c r="Q806" s="2025"/>
      <c r="R806" s="2025"/>
      <c r="S806" s="2025"/>
    </row>
    <row r="807" spans="1:19" s="474" customFormat="1" ht="15">
      <c r="A807" s="2093">
        <v>101</v>
      </c>
      <c r="B807" s="2094">
        <f>'Du toan XD'!B305</f>
        <v>6</v>
      </c>
      <c r="C807" s="2094" t="s">
        <v>1992</v>
      </c>
      <c r="D807" s="2094" t="s">
        <v>1570</v>
      </c>
      <c r="E807" s="2093" t="s">
        <v>1570</v>
      </c>
      <c r="F807" s="2093"/>
      <c r="G807" s="2114" t="str">
        <f>'Du toan XD'!F305</f>
        <v>Lắp dựng hoa sắt cửa</v>
      </c>
      <c r="H807" s="2093" t="str">
        <f>'Du toan XD'!G305</f>
        <v>m²</v>
      </c>
      <c r="I807" s="2093">
        <f>'Du toan XD'!H305</f>
        <v>13.968</v>
      </c>
      <c r="J807" s="2095"/>
      <c r="K807" s="2096"/>
      <c r="L807" s="2097"/>
      <c r="M807" s="2096"/>
      <c r="N807" s="2098"/>
      <c r="O807" s="2098"/>
      <c r="P807" s="1952">
        <f>M808</f>
        <v>5993</v>
      </c>
      <c r="Q807" s="2025"/>
      <c r="R807" s="2025">
        <f>M814</f>
        <v>49609</v>
      </c>
      <c r="S807" s="2025"/>
    </row>
    <row r="808" spans="1:19" s="474" customFormat="1" ht="15">
      <c r="A808" s="2099"/>
      <c r="B808" s="2100"/>
      <c r="C808" s="2100"/>
      <c r="D808" s="2100"/>
      <c r="E808" s="2099"/>
      <c r="F808" s="2099"/>
      <c r="G808" s="2116" t="s">
        <v>224</v>
      </c>
      <c r="H808" s="2116"/>
      <c r="I808" s="2116"/>
      <c r="J808" s="2120"/>
      <c r="K808" s="2118"/>
      <c r="L808" s="2119"/>
      <c r="M808" s="2118">
        <f>ROUND(SUM(M809:M813),Config!C103)</f>
        <v>5993</v>
      </c>
      <c r="N808" s="2106"/>
      <c r="O808" s="2106"/>
      <c r="P808" s="1952"/>
      <c r="Q808" s="2025"/>
      <c r="R808" s="2025"/>
      <c r="S808" s="2025"/>
    </row>
    <row r="809" spans="1:19" s="474" customFormat="1" ht="15">
      <c r="A809" s="2099"/>
      <c r="B809" s="2100"/>
      <c r="C809" s="2100" t="s">
        <v>1992</v>
      </c>
      <c r="D809" s="2100"/>
      <c r="E809" s="2099"/>
      <c r="F809" s="2099" t="s">
        <v>1901</v>
      </c>
      <c r="G809" s="2115" t="s">
        <v>1902</v>
      </c>
      <c r="H809" s="2099" t="s">
        <v>1856</v>
      </c>
      <c r="I809" s="2099"/>
      <c r="J809" s="2102">
        <f>241*0.002</f>
        <v>0.48199999999999998</v>
      </c>
      <c r="K809" s="2171">
        <f>'TH vat tu XD'!G162</f>
        <v>1380</v>
      </c>
      <c r="L809" s="2104"/>
      <c r="M809" s="2103">
        <f>IF(L809=0,J809*K809,J809*K809*L809)</f>
        <v>665.16</v>
      </c>
      <c r="N809" s="2106">
        <f>IF(L809=0,I807*J809,I807*J809*L809)</f>
        <v>6.7325759999999999</v>
      </c>
      <c r="O809" s="2106">
        <f>J813%*N809</f>
        <v>0.33662880000000001</v>
      </c>
      <c r="P809" s="1952"/>
      <c r="Q809" s="2025"/>
      <c r="R809" s="2025"/>
      <c r="S809" s="2025"/>
    </row>
    <row r="810" spans="1:19" s="474" customFormat="1" ht="15">
      <c r="A810" s="2099"/>
      <c r="B810" s="2100"/>
      <c r="C810" s="2100" t="s">
        <v>1992</v>
      </c>
      <c r="D810" s="2100"/>
      <c r="E810" s="2099"/>
      <c r="F810" s="2099" t="s">
        <v>1857</v>
      </c>
      <c r="G810" s="2115" t="s">
        <v>1858</v>
      </c>
      <c r="H810" s="2099" t="s">
        <v>1848</v>
      </c>
      <c r="I810" s="2099"/>
      <c r="J810" s="2102">
        <f>1.193*0.002</f>
        <v>2.3860000000000001E-3</v>
      </c>
      <c r="K810" s="2171">
        <f>'TH vat tu XD'!G157</f>
        <v>435000</v>
      </c>
      <c r="L810" s="2104"/>
      <c r="M810" s="2103">
        <f>IF(L810=0,J810*K810,J810*K810*L810)</f>
        <v>1037.9100000000001</v>
      </c>
      <c r="N810" s="2106">
        <f>IF(L810=0,I807*J810,I807*J810*L810)</f>
        <v>3.3327648000000001E-2</v>
      </c>
      <c r="O810" s="2106">
        <f>J813%*N810</f>
        <v>1.6663824000000002E-3</v>
      </c>
      <c r="P810" s="1952"/>
      <c r="Q810" s="2025"/>
      <c r="R810" s="2025"/>
      <c r="S810" s="2025"/>
    </row>
    <row r="811" spans="1:19" s="474" customFormat="1" ht="15">
      <c r="A811" s="2099"/>
      <c r="B811" s="2100"/>
      <c r="C811" s="2100" t="s">
        <v>1992</v>
      </c>
      <c r="D811" s="2100"/>
      <c r="E811" s="2099"/>
      <c r="F811" s="2099" t="s">
        <v>1859</v>
      </c>
      <c r="G811" s="2115" t="s">
        <v>1860</v>
      </c>
      <c r="H811" s="2099" t="s">
        <v>1861</v>
      </c>
      <c r="I811" s="2099"/>
      <c r="J811" s="2102">
        <f>274*0.002</f>
        <v>0.54800000000000004</v>
      </c>
      <c r="K811" s="2171">
        <f>'TH vat tu XD'!G159</f>
        <v>8</v>
      </c>
      <c r="L811" s="2104"/>
      <c r="M811" s="2103">
        <f>IF(L811=0,J811*K811,J811*K811*L811)</f>
        <v>4.3840000000000003</v>
      </c>
      <c r="N811" s="2106">
        <f>IF(L811=0,I807*J811,I807*J811*L811)</f>
        <v>7.6544640000000008</v>
      </c>
      <c r="O811" s="2106">
        <f>J813%*N811</f>
        <v>0.38272320000000004</v>
      </c>
      <c r="P811" s="1952"/>
      <c r="Q811" s="2025"/>
      <c r="R811" s="2025"/>
      <c r="S811" s="2025"/>
    </row>
    <row r="812" spans="1:19" s="474" customFormat="1" ht="15">
      <c r="A812" s="2099"/>
      <c r="B812" s="2100"/>
      <c r="C812" s="2100"/>
      <c r="D812" s="2100"/>
      <c r="E812" s="2099"/>
      <c r="F812" s="2099" t="s">
        <v>1993</v>
      </c>
      <c r="G812" s="2115" t="s">
        <v>1994</v>
      </c>
      <c r="H812" s="2099" t="s">
        <v>1955</v>
      </c>
      <c r="I812" s="2099"/>
      <c r="J812" s="2102">
        <v>2</v>
      </c>
      <c r="K812" s="2171">
        <f>'TH vat tu XD'!G156</f>
        <v>2000</v>
      </c>
      <c r="L812" s="2104"/>
      <c r="M812" s="2103">
        <f>IF(L812=0,J812*K812,J812*K812*L812)</f>
        <v>4000</v>
      </c>
      <c r="N812" s="2106">
        <f>IF(L812=0,I807*J812,I807*J812*L812)</f>
        <v>27.936</v>
      </c>
      <c r="O812" s="2106">
        <f>J813%*N812</f>
        <v>1.3968</v>
      </c>
      <c r="P812" s="1952"/>
      <c r="Q812" s="2025"/>
      <c r="R812" s="2025"/>
      <c r="S812" s="2025"/>
    </row>
    <row r="813" spans="1:19" s="474" customFormat="1" ht="15">
      <c r="A813" s="2099"/>
      <c r="B813" s="2100"/>
      <c r="C813" s="2100"/>
      <c r="D813" s="2100"/>
      <c r="E813" s="2099"/>
      <c r="F813" s="2099" t="s">
        <v>1882</v>
      </c>
      <c r="G813" s="2115" t="s">
        <v>226</v>
      </c>
      <c r="H813" s="2099" t="s">
        <v>1850</v>
      </c>
      <c r="I813" s="2099"/>
      <c r="J813" s="2102">
        <v>5</v>
      </c>
      <c r="K813" s="2103"/>
      <c r="L813" s="2104"/>
      <c r="M813" s="2103">
        <f>SUM(M809:M812)*J813%</f>
        <v>285.37270000000001</v>
      </c>
      <c r="N813" s="2106"/>
      <c r="O813" s="2106"/>
      <c r="P813" s="1952"/>
      <c r="Q813" s="2025"/>
      <c r="R813" s="2025"/>
      <c r="S813" s="2025"/>
    </row>
    <row r="814" spans="1:19" s="474" customFormat="1" ht="15">
      <c r="A814" s="2099"/>
      <c r="B814" s="2100"/>
      <c r="C814" s="2100"/>
      <c r="D814" s="2100"/>
      <c r="E814" s="2099"/>
      <c r="F814" s="2099"/>
      <c r="G814" s="2116" t="s">
        <v>225</v>
      </c>
      <c r="H814" s="2116"/>
      <c r="I814" s="2116"/>
      <c r="J814" s="2120"/>
      <c r="K814" s="2118"/>
      <c r="L814" s="2119"/>
      <c r="M814" s="2118">
        <f>ROUND(SUM(M815:M815),Config!C103)</f>
        <v>49609</v>
      </c>
      <c r="N814" s="2106"/>
      <c r="O814" s="2106"/>
      <c r="P814" s="1952"/>
      <c r="Q814" s="2025"/>
      <c r="R814" s="2025"/>
      <c r="S814" s="2025"/>
    </row>
    <row r="815" spans="1:19" s="474" customFormat="1" ht="15">
      <c r="A815" s="2099"/>
      <c r="B815" s="2100"/>
      <c r="C815" s="2100"/>
      <c r="D815" s="2100"/>
      <c r="E815" s="2099"/>
      <c r="F815" s="2099" t="s">
        <v>1951</v>
      </c>
      <c r="G815" s="2115" t="s">
        <v>1952</v>
      </c>
      <c r="H815" s="2099" t="s">
        <v>1833</v>
      </c>
      <c r="I815" s="2099"/>
      <c r="J815" s="2102">
        <v>0.2</v>
      </c>
      <c r="K815" s="2171">
        <f>'TH vat tu XD'!G165</f>
        <v>248042.76315789475</v>
      </c>
      <c r="L815" s="2104"/>
      <c r="M815" s="2103">
        <f>IF(L815=0,J815*K815,J815*K815*L815)</f>
        <v>49608.552631578954</v>
      </c>
      <c r="N815" s="2106">
        <f>IF(L815=0,I807*J815,I807*J815*L815)</f>
        <v>2.7936000000000001</v>
      </c>
      <c r="O815" s="2106"/>
      <c r="P815" s="1952"/>
      <c r="Q815" s="2025"/>
      <c r="R815" s="2025"/>
      <c r="S815" s="2025"/>
    </row>
    <row r="816" spans="1:19" s="474" customFormat="1" ht="15" hidden="1">
      <c r="A816" s="2099"/>
      <c r="B816" s="2100"/>
      <c r="C816" s="2100"/>
      <c r="D816" s="2100"/>
      <c r="E816" s="2099"/>
      <c r="F816" s="2099"/>
      <c r="G816" s="2101" t="s">
        <v>109</v>
      </c>
      <c r="H816" s="2099"/>
      <c r="I816" s="2099"/>
      <c r="J816" s="2099" t="s">
        <v>333</v>
      </c>
      <c r="K816" s="2103"/>
      <c r="L816" s="2104"/>
      <c r="M816" s="2105">
        <f>M808+M814+0</f>
        <v>55602</v>
      </c>
      <c r="N816" s="2106"/>
      <c r="O816" s="2106"/>
      <c r="P816" s="1952"/>
      <c r="Q816" s="2025"/>
      <c r="R816" s="2025"/>
      <c r="S816" s="2025"/>
    </row>
    <row r="817" spans="1:19" s="474" customFormat="1" ht="15" hidden="1">
      <c r="A817" s="2099"/>
      <c r="B817" s="2100"/>
      <c r="C817" s="2100"/>
      <c r="D817" s="2100"/>
      <c r="E817" s="2099"/>
      <c r="F817" s="2099"/>
      <c r="G817" s="2101" t="s">
        <v>378</v>
      </c>
      <c r="H817" s="2099"/>
      <c r="I817" s="2099"/>
      <c r="J817" s="2099" t="str">
        <f ca="1">"T*"&amp;'THCP xay dung'!F193*100&amp;"%"</f>
        <v>T*6,2%</v>
      </c>
      <c r="K817" s="2103"/>
      <c r="L817" s="2104"/>
      <c r="M817" s="2105">
        <f ca="1">M816*'THCP xay dung'!F193*100%</f>
        <v>3447.3240000000001</v>
      </c>
      <c r="N817" s="2106"/>
      <c r="O817" s="2106"/>
      <c r="P817" s="1952"/>
      <c r="Q817" s="2025"/>
      <c r="R817" s="2025"/>
      <c r="S817" s="2025"/>
    </row>
    <row r="818" spans="1:19" s="474" customFormat="1" ht="28.5" hidden="1">
      <c r="A818" s="2099"/>
      <c r="B818" s="2100"/>
      <c r="C818" s="2100"/>
      <c r="D818" s="2100"/>
      <c r="E818" s="2099"/>
      <c r="F818" s="2099"/>
      <c r="G818" s="2101" t="s">
        <v>702</v>
      </c>
      <c r="H818" s="2099"/>
      <c r="I818" s="2099"/>
      <c r="J818" s="2099" t="str">
        <f>IF('THCP xay dung'!G194&lt;&gt;1,"T*"&amp;'THCP xay dung'!F194*100&amp;"%"&amp;"*"&amp;'THCP xay dung'!G194,"T*"&amp;'THCP xay dung'!F194*100&amp;"%")</f>
        <v>T*1,1%</v>
      </c>
      <c r="K818" s="2103"/>
      <c r="L818" s="2104"/>
      <c r="M818" s="2105">
        <f>IF('THCP xay dung'!G194&lt;&gt;1,M816*'THCP xay dung'!F194*100%*'THCP xay dung'!G194,M816*'THCP xay dung'!F194*100%)</f>
        <v>611.62200000000007</v>
      </c>
      <c r="N818" s="2106"/>
      <c r="O818" s="2106"/>
      <c r="P818" s="1952"/>
      <c r="Q818" s="2025"/>
      <c r="R818" s="2025"/>
      <c r="S818" s="2025"/>
    </row>
    <row r="819" spans="1:19" s="474" customFormat="1" ht="42.75" hidden="1">
      <c r="A819" s="2099"/>
      <c r="B819" s="2100"/>
      <c r="C819" s="2100"/>
      <c r="D819" s="2100"/>
      <c r="E819" s="2099"/>
      <c r="F819" s="2099"/>
      <c r="G819" s="2101" t="s">
        <v>703</v>
      </c>
      <c r="H819" s="2099"/>
      <c r="I819" s="2099"/>
      <c r="J819" s="2099" t="str">
        <f ca="1">"T*"&amp;'THCP xay dung'!F195*100&amp;"%"</f>
        <v>T*2%</v>
      </c>
      <c r="K819" s="2103"/>
      <c r="L819" s="2104"/>
      <c r="M819" s="2105">
        <f ca="1">M816*'THCP xay dung'!F195*100%</f>
        <v>1112.04</v>
      </c>
      <c r="N819" s="2106"/>
      <c r="O819" s="2106"/>
      <c r="P819" s="1952"/>
      <c r="Q819" s="2025"/>
      <c r="R819" s="2025"/>
      <c r="S819" s="2025"/>
    </row>
    <row r="820" spans="1:19" s="474" customFormat="1" ht="15" hidden="1">
      <c r="A820" s="2099"/>
      <c r="B820" s="2100"/>
      <c r="C820" s="2100"/>
      <c r="D820" s="2100"/>
      <c r="E820" s="2099"/>
      <c r="F820" s="2099"/>
      <c r="G820" s="2101" t="s">
        <v>701</v>
      </c>
      <c r="H820" s="2099"/>
      <c r="I820" s="2099"/>
      <c r="J820" s="2099" t="s">
        <v>931</v>
      </c>
      <c r="K820" s="2103"/>
      <c r="L820" s="2104"/>
      <c r="M820" s="2105">
        <f ca="1">M817+M818+M819</f>
        <v>5170.9859999999999</v>
      </c>
      <c r="N820" s="2106"/>
      <c r="O820" s="2106"/>
      <c r="P820" s="1952"/>
      <c r="Q820" s="2025"/>
      <c r="R820" s="2025"/>
      <c r="S820" s="2025"/>
    </row>
    <row r="821" spans="1:19" s="474" customFormat="1" ht="15" hidden="1">
      <c r="A821" s="2099"/>
      <c r="B821" s="2100"/>
      <c r="C821" s="2100"/>
      <c r="D821" s="2100"/>
      <c r="E821" s="2099"/>
      <c r="F821" s="2099"/>
      <c r="G821" s="2101" t="s">
        <v>574</v>
      </c>
      <c r="H821" s="2099"/>
      <c r="I821" s="2099"/>
      <c r="J821" s="2099" t="str">
        <f ca="1">"(T+GT)*"&amp;'THCP xay dung'!F197*100&amp;"%"</f>
        <v>(T+GT)*6%</v>
      </c>
      <c r="K821" s="2103"/>
      <c r="L821" s="2104"/>
      <c r="M821" s="2105">
        <f ca="1">(M816+M820)*'THCP xay dung'!F197*100%</f>
        <v>3646.3791599999995</v>
      </c>
      <c r="N821" s="2106"/>
      <c r="O821" s="2106"/>
      <c r="P821" s="1952"/>
      <c r="Q821" s="2025"/>
      <c r="R821" s="2025"/>
      <c r="S821" s="2025"/>
    </row>
    <row r="822" spans="1:19" s="474" customFormat="1" ht="15" hidden="1">
      <c r="A822" s="2099"/>
      <c r="B822" s="2100"/>
      <c r="C822" s="2100"/>
      <c r="D822" s="2100"/>
      <c r="E822" s="2099"/>
      <c r="F822" s="2099"/>
      <c r="G822" s="2101" t="s">
        <v>113</v>
      </c>
      <c r="H822" s="2099"/>
      <c r="I822" s="2099"/>
      <c r="J822" s="2099" t="s">
        <v>705</v>
      </c>
      <c r="K822" s="2103"/>
      <c r="L822" s="2104"/>
      <c r="M822" s="2105">
        <f ca="1">M816+M820+M821</f>
        <v>64419.365159999994</v>
      </c>
      <c r="N822" s="2106"/>
      <c r="O822" s="2106"/>
      <c r="P822" s="1952"/>
      <c r="Q822" s="2025"/>
      <c r="R822" s="2025"/>
      <c r="S822" s="2025"/>
    </row>
    <row r="823" spans="1:19" s="474" customFormat="1" ht="15" hidden="1">
      <c r="A823" s="2099"/>
      <c r="B823" s="2100"/>
      <c r="C823" s="2100"/>
      <c r="D823" s="2100"/>
      <c r="E823" s="2099"/>
      <c r="F823" s="2099"/>
      <c r="G823" s="2101" t="s">
        <v>575</v>
      </c>
      <c r="H823" s="2099"/>
      <c r="I823" s="2099"/>
      <c r="J823" s="2099" t="str">
        <f>"G*"&amp;'THCP xay dung'!F199*100&amp;"%"</f>
        <v>G*10%</v>
      </c>
      <c r="K823" s="2103"/>
      <c r="L823" s="2104"/>
      <c r="M823" s="2105">
        <f ca="1">M822*'THCP xay dung'!F199*100%</f>
        <v>6441.9365159999998</v>
      </c>
      <c r="N823" s="2106"/>
      <c r="O823" s="2106"/>
      <c r="P823" s="1952"/>
      <c r="Q823" s="2025"/>
      <c r="R823" s="2025"/>
      <c r="S823" s="2025"/>
    </row>
    <row r="824" spans="1:19" s="474" customFormat="1" ht="15" hidden="1">
      <c r="A824" s="2099"/>
      <c r="B824" s="2100"/>
      <c r="C824" s="2100"/>
      <c r="D824" s="2100"/>
      <c r="E824" s="2099"/>
      <c r="F824" s="2099"/>
      <c r="G824" s="2101" t="s">
        <v>117</v>
      </c>
      <c r="H824" s="2099"/>
      <c r="I824" s="2099"/>
      <c r="J824" s="2099" t="s">
        <v>596</v>
      </c>
      <c r="K824" s="2103"/>
      <c r="L824" s="2104"/>
      <c r="M824" s="2105">
        <f ca="1">M822+M823</f>
        <v>70861.301675999988</v>
      </c>
      <c r="N824" s="2106"/>
      <c r="O824" s="2106"/>
      <c r="P824" s="1952"/>
      <c r="Q824" s="2025"/>
      <c r="R824" s="2025"/>
      <c r="S824" s="2025"/>
    </row>
    <row r="825" spans="1:19" s="474" customFormat="1" ht="15" hidden="1">
      <c r="A825" s="2099"/>
      <c r="B825" s="2100"/>
      <c r="C825" s="2100"/>
      <c r="D825" s="2100"/>
      <c r="E825" s="2099"/>
      <c r="F825" s="2099"/>
      <c r="G825" s="2101" t="s">
        <v>168</v>
      </c>
      <c r="H825" s="2099"/>
      <c r="I825" s="2099"/>
      <c r="J825" s="2099" t="str">
        <f ca="1">"GXD*"&amp;'THCP xay dung'!F201*100&amp;"%"</f>
        <v>GXD*6%</v>
      </c>
      <c r="K825" s="2103"/>
      <c r="L825" s="2104"/>
      <c r="M825" s="2105">
        <f ca="1">M824*'THCP xay dung'!F201*100%</f>
        <v>4251.6781005599987</v>
      </c>
      <c r="N825" s="2106"/>
      <c r="O825" s="2106"/>
      <c r="P825" s="1952"/>
      <c r="Q825" s="2025"/>
      <c r="R825" s="2025"/>
      <c r="S825" s="2025"/>
    </row>
    <row r="826" spans="1:19" s="474" customFormat="1" ht="15" hidden="1">
      <c r="A826" s="2107" t="s">
        <v>304</v>
      </c>
      <c r="B826" s="2108"/>
      <c r="C826" s="2108"/>
      <c r="D826" s="2108"/>
      <c r="E826" s="2107"/>
      <c r="F826" s="2107"/>
      <c r="G826" s="2109" t="s">
        <v>1837</v>
      </c>
      <c r="H826" s="2107"/>
      <c r="I826" s="2107"/>
      <c r="J826" s="2107" t="s">
        <v>1636</v>
      </c>
      <c r="K826" s="2110"/>
      <c r="L826" s="2111"/>
      <c r="M826" s="2112">
        <f ca="1">M824+M825</f>
        <v>75112.97977655998</v>
      </c>
      <c r="N826" s="2113"/>
      <c r="O826" s="2113"/>
      <c r="P826" s="1952"/>
      <c r="Q826" s="2025"/>
      <c r="R826" s="2025"/>
      <c r="S826" s="2025"/>
    </row>
    <row r="827" spans="1:19" s="474" customFormat="1" ht="15">
      <c r="A827" s="2136" t="str">
        <f>'Du toan XD'!A311</f>
        <v>HM7</v>
      </c>
      <c r="B827" s="2137" t="str">
        <f>'Du toan XD'!E311</f>
        <v>HM</v>
      </c>
      <c r="C827" s="2137"/>
      <c r="D827" s="2137"/>
      <c r="E827" s="2138"/>
      <c r="F827" s="2138"/>
      <c r="G827" s="2138" t="str">
        <f>'Du toan XD'!F311</f>
        <v>PHẦN ĐIỆN</v>
      </c>
      <c r="H827" s="2139"/>
      <c r="I827" s="2139"/>
      <c r="J827" s="1953"/>
      <c r="K827" s="1954"/>
      <c r="L827" s="1953"/>
      <c r="M827" s="1955"/>
      <c r="N827" s="2025"/>
      <c r="O827" s="2025"/>
      <c r="P827" s="2025"/>
      <c r="Q827" s="2025"/>
      <c r="R827" s="2025"/>
      <c r="S827" s="2025"/>
    </row>
    <row r="828" spans="1:19" s="474" customFormat="1" ht="15">
      <c r="A828" s="2093">
        <v>102</v>
      </c>
      <c r="B828" s="2094">
        <f>'Du toan XD'!B312</f>
        <v>1</v>
      </c>
      <c r="C828" s="2094"/>
      <c r="D828" s="2094" t="s">
        <v>1571</v>
      </c>
      <c r="E828" s="2093" t="s">
        <v>1571</v>
      </c>
      <c r="F828" s="2093"/>
      <c r="G828" s="2114" t="str">
        <f>'Du toan XD'!F312</f>
        <v>Tủ điện loại âm tường 10 module</v>
      </c>
      <c r="H828" s="2093" t="str">
        <f>'Du toan XD'!G312</f>
        <v>hộp</v>
      </c>
      <c r="I828" s="2093">
        <f>'Du toan XD'!H312</f>
        <v>1</v>
      </c>
      <c r="J828" s="2097"/>
      <c r="K828" s="2096"/>
      <c r="L828" s="2097"/>
      <c r="M828" s="2096"/>
      <c r="N828" s="2098"/>
      <c r="O828" s="2098"/>
      <c r="P828" s="1952">
        <f>M829</f>
        <v>9450</v>
      </c>
      <c r="Q828" s="2025"/>
      <c r="R828" s="2025">
        <f>M832</f>
        <v>47985</v>
      </c>
      <c r="S828" s="2025">
        <f>M834</f>
        <v>301</v>
      </c>
    </row>
    <row r="829" spans="1:19" s="474" customFormat="1" ht="15">
      <c r="A829" s="2099"/>
      <c r="B829" s="2100"/>
      <c r="C829" s="2100"/>
      <c r="D829" s="2100"/>
      <c r="E829" s="2099"/>
      <c r="F829" s="2099"/>
      <c r="G829" s="2116" t="s">
        <v>224</v>
      </c>
      <c r="H829" s="2116"/>
      <c r="I829" s="2116"/>
      <c r="J829" s="2157"/>
      <c r="K829" s="2118"/>
      <c r="L829" s="2119"/>
      <c r="M829" s="2118">
        <f>ROUND(SUM(M830:M831),Config!C103)</f>
        <v>9450</v>
      </c>
      <c r="N829" s="2106"/>
      <c r="O829" s="2106"/>
      <c r="P829" s="1952"/>
      <c r="Q829" s="2025"/>
      <c r="R829" s="2025"/>
      <c r="S829" s="2025"/>
    </row>
    <row r="830" spans="1:19" s="474" customFormat="1" ht="45">
      <c r="A830" s="2099"/>
      <c r="B830" s="2100"/>
      <c r="C830" s="2100"/>
      <c r="D830" s="2100"/>
      <c r="E830" s="2099"/>
      <c r="F830" s="2099" t="s">
        <v>1996</v>
      </c>
      <c r="G830" s="2115" t="s">
        <v>1997</v>
      </c>
      <c r="H830" s="2099" t="s">
        <v>1955</v>
      </c>
      <c r="I830" s="2099"/>
      <c r="J830" s="2104">
        <v>1</v>
      </c>
      <c r="K830" s="2171">
        <f>'TH vat tu XD'!G190</f>
        <v>9000</v>
      </c>
      <c r="L830" s="2104"/>
      <c r="M830" s="2103">
        <f>IF(L830=0,J830*K830,J830*K830*L830)</f>
        <v>9000</v>
      </c>
      <c r="N830" s="2106">
        <f>IF(L830=0,I828*J830,I828*J830*L830)</f>
        <v>1</v>
      </c>
      <c r="O830" s="2106">
        <f>J831%*N830</f>
        <v>0.05</v>
      </c>
      <c r="P830" s="1952"/>
      <c r="Q830" s="2025"/>
      <c r="R830" s="2025"/>
      <c r="S830" s="2025"/>
    </row>
    <row r="831" spans="1:19" s="474" customFormat="1" ht="15">
      <c r="A831" s="2099"/>
      <c r="B831" s="2100"/>
      <c r="C831" s="2100"/>
      <c r="D831" s="2100"/>
      <c r="E831" s="2099"/>
      <c r="F831" s="2099" t="s">
        <v>1882</v>
      </c>
      <c r="G831" s="2115" t="s">
        <v>226</v>
      </c>
      <c r="H831" s="2099" t="s">
        <v>1850</v>
      </c>
      <c r="I831" s="2099"/>
      <c r="J831" s="2104">
        <v>5</v>
      </c>
      <c r="K831" s="2103"/>
      <c r="L831" s="2104"/>
      <c r="M831" s="2103">
        <f>SUM(M830:M830)*J831%</f>
        <v>450</v>
      </c>
      <c r="N831" s="2106"/>
      <c r="O831" s="2106"/>
      <c r="P831" s="1952"/>
      <c r="Q831" s="2025"/>
      <c r="R831" s="2025"/>
      <c r="S831" s="2025"/>
    </row>
    <row r="832" spans="1:19" s="474" customFormat="1" ht="15">
      <c r="A832" s="2099"/>
      <c r="B832" s="2100"/>
      <c r="C832" s="2100"/>
      <c r="D832" s="2100"/>
      <c r="E832" s="2099"/>
      <c r="F832" s="2099"/>
      <c r="G832" s="2116" t="s">
        <v>225</v>
      </c>
      <c r="H832" s="2116"/>
      <c r="I832" s="2116"/>
      <c r="J832" s="2157"/>
      <c r="K832" s="2118"/>
      <c r="L832" s="2119"/>
      <c r="M832" s="2118">
        <f>ROUND(SUM(M833:M833),Config!C103)</f>
        <v>47985</v>
      </c>
      <c r="N832" s="2106"/>
      <c r="O832" s="2106"/>
      <c r="P832" s="1952"/>
      <c r="Q832" s="2025"/>
      <c r="R832" s="2025"/>
      <c r="S832" s="2025"/>
    </row>
    <row r="833" spans="1:19" s="474" customFormat="1" ht="15">
      <c r="A833" s="2099"/>
      <c r="B833" s="2100"/>
      <c r="C833" s="2100"/>
      <c r="D833" s="2100"/>
      <c r="E833" s="2099"/>
      <c r="F833" s="2099" t="s">
        <v>1866</v>
      </c>
      <c r="G833" s="2115" t="s">
        <v>1867</v>
      </c>
      <c r="H833" s="2099" t="s">
        <v>1833</v>
      </c>
      <c r="I833" s="2099"/>
      <c r="J833" s="2104">
        <v>0.21</v>
      </c>
      <c r="K833" s="2171">
        <f>'TH vat tu XD'!G196</f>
        <v>228500</v>
      </c>
      <c r="L833" s="2104"/>
      <c r="M833" s="2103">
        <f>IF(L833=0,J833*K833,J833*K833*L833)</f>
        <v>47985</v>
      </c>
      <c r="N833" s="2106">
        <f>IF(L833=0,I828*J833,I828*J833*L833)</f>
        <v>0.21</v>
      </c>
      <c r="O833" s="2106"/>
      <c r="P833" s="1952"/>
      <c r="Q833" s="2025"/>
      <c r="R833" s="2025"/>
      <c r="S833" s="2025"/>
    </row>
    <row r="834" spans="1:19" s="474" customFormat="1" ht="15">
      <c r="A834" s="2099"/>
      <c r="B834" s="2100"/>
      <c r="C834" s="2100"/>
      <c r="D834" s="2100"/>
      <c r="E834" s="2099"/>
      <c r="F834" s="2099"/>
      <c r="G834" s="2116" t="s">
        <v>228</v>
      </c>
      <c r="H834" s="2116"/>
      <c r="I834" s="2116"/>
      <c r="J834" s="2157"/>
      <c r="K834" s="2118"/>
      <c r="L834" s="2119"/>
      <c r="M834" s="2118">
        <f>ROUND(SUM(M835:M835),Config!C103)</f>
        <v>301</v>
      </c>
      <c r="N834" s="2106"/>
      <c r="O834" s="2106"/>
      <c r="P834" s="1952"/>
      <c r="Q834" s="2025"/>
      <c r="R834" s="2025"/>
      <c r="S834" s="2025"/>
    </row>
    <row r="835" spans="1:19" s="474" customFormat="1" ht="30">
      <c r="A835" s="2099"/>
      <c r="B835" s="2100"/>
      <c r="C835" s="2100"/>
      <c r="D835" s="2100"/>
      <c r="E835" s="2099"/>
      <c r="F835" s="2099" t="s">
        <v>1998</v>
      </c>
      <c r="G835" s="2115" t="s">
        <v>1999</v>
      </c>
      <c r="H835" s="2099" t="s">
        <v>1836</v>
      </c>
      <c r="I835" s="2099"/>
      <c r="J835" s="2104">
        <v>0.02</v>
      </c>
      <c r="K835" s="2171">
        <f>'TH vat tu XD'!G198</f>
        <v>15072</v>
      </c>
      <c r="L835" s="2104"/>
      <c r="M835" s="2103">
        <f>IF(L835=0,J835*K835,J835*K835*L835)</f>
        <v>301.44</v>
      </c>
      <c r="N835" s="2106">
        <f>IF(L835=0,I828*J835,I828*J835*L835)</f>
        <v>0.02</v>
      </c>
      <c r="O835" s="2106"/>
      <c r="P835" s="1952"/>
      <c r="Q835" s="2025"/>
      <c r="R835" s="2025"/>
      <c r="S835" s="2025"/>
    </row>
    <row r="836" spans="1:19" s="474" customFormat="1" ht="15" hidden="1">
      <c r="A836" s="2099"/>
      <c r="B836" s="2100"/>
      <c r="C836" s="2100"/>
      <c r="D836" s="2100"/>
      <c r="E836" s="2099"/>
      <c r="F836" s="2099"/>
      <c r="G836" s="2101" t="s">
        <v>109</v>
      </c>
      <c r="H836" s="2099"/>
      <c r="I836" s="2099"/>
      <c r="J836" s="2099" t="s">
        <v>333</v>
      </c>
      <c r="K836" s="2103"/>
      <c r="L836" s="2104"/>
      <c r="M836" s="2105">
        <f>M829+M832+M834</f>
        <v>57736</v>
      </c>
      <c r="N836" s="2106"/>
      <c r="O836" s="2106"/>
      <c r="P836" s="1952"/>
      <c r="Q836" s="2025"/>
      <c r="R836" s="2025"/>
      <c r="S836" s="2025"/>
    </row>
    <row r="837" spans="1:19" s="474" customFormat="1" ht="15" hidden="1">
      <c r="A837" s="2099"/>
      <c r="B837" s="2100"/>
      <c r="C837" s="2100"/>
      <c r="D837" s="2100"/>
      <c r="E837" s="2099"/>
      <c r="F837" s="2099"/>
      <c r="G837" s="2101" t="s">
        <v>378</v>
      </c>
      <c r="H837" s="2099"/>
      <c r="I837" s="2099"/>
      <c r="J837" s="2099" t="str">
        <f ca="1">"T*"&amp;'THCP xay dung'!F222*100&amp;"%"</f>
        <v>T*6,2%</v>
      </c>
      <c r="K837" s="2103"/>
      <c r="L837" s="2104"/>
      <c r="M837" s="2105">
        <f ca="1">M836*'THCP xay dung'!F222*100%</f>
        <v>3579.6320000000001</v>
      </c>
      <c r="N837" s="2106"/>
      <c r="O837" s="2106"/>
      <c r="P837" s="1952"/>
      <c r="Q837" s="2025"/>
      <c r="R837" s="2025"/>
      <c r="S837" s="2025"/>
    </row>
    <row r="838" spans="1:19" s="474" customFormat="1" ht="28.5" hidden="1">
      <c r="A838" s="2099"/>
      <c r="B838" s="2100"/>
      <c r="C838" s="2100"/>
      <c r="D838" s="2100"/>
      <c r="E838" s="2099"/>
      <c r="F838" s="2099"/>
      <c r="G838" s="2101" t="s">
        <v>702</v>
      </c>
      <c r="H838" s="2099"/>
      <c r="I838" s="2099"/>
      <c r="J838" s="2099" t="str">
        <f>IF('THCP xay dung'!G223&lt;&gt;1,"T*"&amp;'THCP xay dung'!F223*100&amp;"%"&amp;"*"&amp;'THCP xay dung'!G223,"T*"&amp;'THCP xay dung'!F223*100&amp;"%")</f>
        <v>T*1,1%</v>
      </c>
      <c r="K838" s="2103"/>
      <c r="L838" s="2104"/>
      <c r="M838" s="2105">
        <f>IF('THCP xay dung'!G223&lt;&gt;1,M836*'THCP xay dung'!F223*100%*'THCP xay dung'!G223,M836*'THCP xay dung'!F223*100%)</f>
        <v>635.09600000000012</v>
      </c>
      <c r="N838" s="2106"/>
      <c r="O838" s="2106"/>
      <c r="P838" s="1952"/>
      <c r="Q838" s="2025"/>
      <c r="R838" s="2025"/>
      <c r="S838" s="2025"/>
    </row>
    <row r="839" spans="1:19" s="474" customFormat="1" ht="42.75" hidden="1">
      <c r="A839" s="2099"/>
      <c r="B839" s="2100"/>
      <c r="C839" s="2100"/>
      <c r="D839" s="2100"/>
      <c r="E839" s="2099"/>
      <c r="F839" s="2099"/>
      <c r="G839" s="2101" t="s">
        <v>703</v>
      </c>
      <c r="H839" s="2099"/>
      <c r="I839" s="2099"/>
      <c r="J839" s="2099" t="str">
        <f ca="1">"T*"&amp;'THCP xay dung'!F224*100&amp;"%"</f>
        <v>T*2%</v>
      </c>
      <c r="K839" s="2103"/>
      <c r="L839" s="2104"/>
      <c r="M839" s="2105">
        <f ca="1">M836*'THCP xay dung'!F224*100%</f>
        <v>1154.72</v>
      </c>
      <c r="N839" s="2106"/>
      <c r="O839" s="2106"/>
      <c r="P839" s="1952"/>
      <c r="Q839" s="2025"/>
      <c r="R839" s="2025"/>
      <c r="S839" s="2025"/>
    </row>
    <row r="840" spans="1:19" s="474" customFormat="1" ht="15" hidden="1">
      <c r="A840" s="2099"/>
      <c r="B840" s="2100"/>
      <c r="C840" s="2100"/>
      <c r="D840" s="2100"/>
      <c r="E840" s="2099"/>
      <c r="F840" s="2099"/>
      <c r="G840" s="2101" t="s">
        <v>701</v>
      </c>
      <c r="H840" s="2099"/>
      <c r="I840" s="2099"/>
      <c r="J840" s="2099" t="s">
        <v>931</v>
      </c>
      <c r="K840" s="2103"/>
      <c r="L840" s="2104"/>
      <c r="M840" s="2105">
        <f ca="1">M837+M838+M839</f>
        <v>5369.4480000000003</v>
      </c>
      <c r="N840" s="2106"/>
      <c r="O840" s="2106"/>
      <c r="P840" s="1952"/>
      <c r="Q840" s="2025"/>
      <c r="R840" s="2025"/>
      <c r="S840" s="2025"/>
    </row>
    <row r="841" spans="1:19" s="474" customFormat="1" ht="15" hidden="1">
      <c r="A841" s="2099"/>
      <c r="B841" s="2100"/>
      <c r="C841" s="2100"/>
      <c r="D841" s="2100"/>
      <c r="E841" s="2099"/>
      <c r="F841" s="2099"/>
      <c r="G841" s="2101" t="s">
        <v>574</v>
      </c>
      <c r="H841" s="2099"/>
      <c r="I841" s="2099"/>
      <c r="J841" s="2099" t="str">
        <f ca="1">"(T+GT)*"&amp;'THCP xay dung'!F226*100&amp;"%"</f>
        <v>(T+GT)*6%</v>
      </c>
      <c r="K841" s="2103"/>
      <c r="L841" s="2104"/>
      <c r="M841" s="2105">
        <f ca="1">(M836+M840)*'THCP xay dung'!F226*100%</f>
        <v>3786.3268800000001</v>
      </c>
      <c r="N841" s="2106"/>
      <c r="O841" s="2106"/>
      <c r="P841" s="1952"/>
      <c r="Q841" s="2025"/>
      <c r="R841" s="2025"/>
      <c r="S841" s="2025"/>
    </row>
    <row r="842" spans="1:19" s="474" customFormat="1" ht="15" hidden="1">
      <c r="A842" s="2099"/>
      <c r="B842" s="2100"/>
      <c r="C842" s="2100"/>
      <c r="D842" s="2100"/>
      <c r="E842" s="2099"/>
      <c r="F842" s="2099"/>
      <c r="G842" s="2101" t="s">
        <v>113</v>
      </c>
      <c r="H842" s="2099"/>
      <c r="I842" s="2099"/>
      <c r="J842" s="2099" t="s">
        <v>705</v>
      </c>
      <c r="K842" s="2103"/>
      <c r="L842" s="2104"/>
      <c r="M842" s="2105">
        <f ca="1">M836+M840+M841</f>
        <v>66891.774879999997</v>
      </c>
      <c r="N842" s="2106"/>
      <c r="O842" s="2106"/>
      <c r="P842" s="1952"/>
      <c r="Q842" s="2025"/>
      <c r="R842" s="2025"/>
      <c r="S842" s="2025"/>
    </row>
    <row r="843" spans="1:19" s="474" customFormat="1" ht="15" hidden="1">
      <c r="A843" s="2099"/>
      <c r="B843" s="2100"/>
      <c r="C843" s="2100"/>
      <c r="D843" s="2100"/>
      <c r="E843" s="2099"/>
      <c r="F843" s="2099"/>
      <c r="G843" s="2101" t="s">
        <v>575</v>
      </c>
      <c r="H843" s="2099"/>
      <c r="I843" s="2099"/>
      <c r="J843" s="2099" t="str">
        <f>"G*"&amp;'THCP xay dung'!F228*100&amp;"%"</f>
        <v>G*10%</v>
      </c>
      <c r="K843" s="2103"/>
      <c r="L843" s="2104"/>
      <c r="M843" s="2105">
        <f ca="1">M842*'THCP xay dung'!F228*100%</f>
        <v>6689.1774880000003</v>
      </c>
      <c r="N843" s="2106"/>
      <c r="O843" s="2106"/>
      <c r="P843" s="1952"/>
      <c r="Q843" s="2025"/>
      <c r="R843" s="2025"/>
      <c r="S843" s="2025"/>
    </row>
    <row r="844" spans="1:19" s="474" customFormat="1" ht="15" hidden="1">
      <c r="A844" s="2099"/>
      <c r="B844" s="2100"/>
      <c r="C844" s="2100"/>
      <c r="D844" s="2100"/>
      <c r="E844" s="2099"/>
      <c r="F844" s="2099"/>
      <c r="G844" s="2101" t="s">
        <v>117</v>
      </c>
      <c r="H844" s="2099"/>
      <c r="I844" s="2099"/>
      <c r="J844" s="2099" t="s">
        <v>596</v>
      </c>
      <c r="K844" s="2103"/>
      <c r="L844" s="2104"/>
      <c r="M844" s="2105">
        <f ca="1">M842+M843</f>
        <v>73580.952367999998</v>
      </c>
      <c r="N844" s="2106"/>
      <c r="O844" s="2106"/>
      <c r="P844" s="1952"/>
      <c r="Q844" s="2025"/>
      <c r="R844" s="2025"/>
      <c r="S844" s="2025"/>
    </row>
    <row r="845" spans="1:19" s="474" customFormat="1" ht="15" hidden="1">
      <c r="A845" s="2099"/>
      <c r="B845" s="2100"/>
      <c r="C845" s="2100"/>
      <c r="D845" s="2100"/>
      <c r="E845" s="2099"/>
      <c r="F845" s="2099"/>
      <c r="G845" s="2101" t="s">
        <v>168</v>
      </c>
      <c r="H845" s="2099"/>
      <c r="I845" s="2099"/>
      <c r="J845" s="2099" t="str">
        <f ca="1">"GXD*"&amp;'THCP xay dung'!F230*100&amp;"%"</f>
        <v>GXD*6%</v>
      </c>
      <c r="K845" s="2103"/>
      <c r="L845" s="2104"/>
      <c r="M845" s="2105">
        <f ca="1">M844*'THCP xay dung'!F230*100%</f>
        <v>4414.8571420799999</v>
      </c>
      <c r="N845" s="2106"/>
      <c r="O845" s="2106"/>
      <c r="P845" s="1952"/>
      <c r="Q845" s="2025"/>
      <c r="R845" s="2025"/>
      <c r="S845" s="2025"/>
    </row>
    <row r="846" spans="1:19" s="474" customFormat="1" ht="15" hidden="1">
      <c r="A846" s="2122" t="s">
        <v>304</v>
      </c>
      <c r="B846" s="2123"/>
      <c r="C846" s="2123"/>
      <c r="D846" s="2123"/>
      <c r="E846" s="2122"/>
      <c r="F846" s="2122"/>
      <c r="G846" s="2109" t="s">
        <v>1837</v>
      </c>
      <c r="H846" s="2107"/>
      <c r="I846" s="2107"/>
      <c r="J846" s="2107" t="s">
        <v>1636</v>
      </c>
      <c r="K846" s="2110"/>
      <c r="L846" s="2111"/>
      <c r="M846" s="2112">
        <f ca="1">M844+M845</f>
        <v>77995.809510079998</v>
      </c>
      <c r="N846" s="2113"/>
      <c r="O846" s="2113"/>
      <c r="P846" s="1952"/>
      <c r="Q846" s="2025"/>
      <c r="R846" s="2025"/>
      <c r="S846" s="2025"/>
    </row>
    <row r="847" spans="1:19" s="474" customFormat="1" ht="15">
      <c r="A847" s="2159">
        <v>103</v>
      </c>
      <c r="B847" s="2160">
        <f>'Du toan XD'!B313</f>
        <v>2</v>
      </c>
      <c r="C847" s="2160"/>
      <c r="D847" s="2160" t="s">
        <v>1572</v>
      </c>
      <c r="E847" s="2159" t="s">
        <v>1572</v>
      </c>
      <c r="F847" s="2159"/>
      <c r="G847" s="2165" t="str">
        <f>'Du toan XD'!F313</f>
        <v>Aptomat MCB-2P-40A-15kA</v>
      </c>
      <c r="H847" s="2159" t="str">
        <f>'Du toan XD'!G313</f>
        <v>cái</v>
      </c>
      <c r="I847" s="2159">
        <f>'Du toan XD'!H313</f>
        <v>1</v>
      </c>
      <c r="J847" s="2161"/>
      <c r="K847" s="2162"/>
      <c r="L847" s="2163"/>
      <c r="M847" s="2162"/>
      <c r="N847" s="2164"/>
      <c r="O847" s="2164"/>
      <c r="P847" s="1952">
        <f>M848</f>
        <v>301920</v>
      </c>
      <c r="Q847" s="2025"/>
      <c r="R847" s="2025">
        <f>M851</f>
        <v>68550</v>
      </c>
      <c r="S847" s="2025"/>
    </row>
    <row r="848" spans="1:19" s="474" customFormat="1" ht="15">
      <c r="A848" s="2099"/>
      <c r="B848" s="2100"/>
      <c r="C848" s="2100"/>
      <c r="D848" s="2100"/>
      <c r="E848" s="2099"/>
      <c r="F848" s="2099"/>
      <c r="G848" s="2116" t="s">
        <v>224</v>
      </c>
      <c r="H848" s="2116"/>
      <c r="I848" s="2116"/>
      <c r="J848" s="2120"/>
      <c r="K848" s="2118"/>
      <c r="L848" s="2119"/>
      <c r="M848" s="2118">
        <f>ROUND(SUM(M849:M850),Config!C103)</f>
        <v>301920</v>
      </c>
      <c r="N848" s="2106"/>
      <c r="O848" s="2106"/>
      <c r="P848" s="1952"/>
      <c r="Q848" s="2025"/>
      <c r="R848" s="2025"/>
      <c r="S848" s="2025"/>
    </row>
    <row r="849" spans="1:19" s="474" customFormat="1" ht="15">
      <c r="A849" s="2099"/>
      <c r="B849" s="2100"/>
      <c r="C849" s="2100"/>
      <c r="D849" s="2100"/>
      <c r="E849" s="2099"/>
      <c r="F849" s="2099" t="s">
        <v>2000</v>
      </c>
      <c r="G849" s="2115" t="s">
        <v>2001</v>
      </c>
      <c r="H849" s="2099" t="s">
        <v>1955</v>
      </c>
      <c r="I849" s="2099"/>
      <c r="J849" s="2102">
        <v>1</v>
      </c>
      <c r="K849" s="2171">
        <f>'TH vat tu XD'!G181</f>
        <v>296000</v>
      </c>
      <c r="L849" s="2104"/>
      <c r="M849" s="2103">
        <f>IF(L849=0,J849*K849,J849*K849*L849)</f>
        <v>296000</v>
      </c>
      <c r="N849" s="2106">
        <f>IF(L849=0,I847*J849,I847*J849*L849)</f>
        <v>1</v>
      </c>
      <c r="O849" s="2106">
        <f>J850%*N849</f>
        <v>0.02</v>
      </c>
      <c r="P849" s="1952"/>
      <c r="Q849" s="2025"/>
      <c r="R849" s="2025"/>
      <c r="S849" s="2025"/>
    </row>
    <row r="850" spans="1:19" s="474" customFormat="1" ht="15">
      <c r="A850" s="2099"/>
      <c r="B850" s="2100"/>
      <c r="C850" s="2100"/>
      <c r="D850" s="2100"/>
      <c r="E850" s="2099"/>
      <c r="F850" s="2099" t="s">
        <v>1882</v>
      </c>
      <c r="G850" s="2115" t="s">
        <v>226</v>
      </c>
      <c r="H850" s="2099" t="s">
        <v>1850</v>
      </c>
      <c r="I850" s="2099"/>
      <c r="J850" s="2102">
        <v>2</v>
      </c>
      <c r="K850" s="2103"/>
      <c r="L850" s="2104"/>
      <c r="M850" s="2103">
        <f>SUM(M849:M849)*J850%</f>
        <v>5920</v>
      </c>
      <c r="N850" s="2106"/>
      <c r="O850" s="2106"/>
      <c r="P850" s="1952"/>
      <c r="Q850" s="2025"/>
      <c r="R850" s="2025"/>
      <c r="S850" s="2025"/>
    </row>
    <row r="851" spans="1:19" s="474" customFormat="1" ht="15">
      <c r="A851" s="2099"/>
      <c r="B851" s="2100"/>
      <c r="C851" s="2100"/>
      <c r="D851" s="2100"/>
      <c r="E851" s="2099"/>
      <c r="F851" s="2099"/>
      <c r="G851" s="2116" t="s">
        <v>225</v>
      </c>
      <c r="H851" s="2116"/>
      <c r="I851" s="2116"/>
      <c r="J851" s="2120"/>
      <c r="K851" s="2118"/>
      <c r="L851" s="2119"/>
      <c r="M851" s="2118">
        <f>ROUND(SUM(M852:M852),Config!C103)</f>
        <v>68550</v>
      </c>
      <c r="N851" s="2106"/>
      <c r="O851" s="2106"/>
      <c r="P851" s="1952"/>
      <c r="Q851" s="2025"/>
      <c r="R851" s="2025"/>
      <c r="S851" s="2025"/>
    </row>
    <row r="852" spans="1:19" s="474" customFormat="1" ht="15">
      <c r="A852" s="2099"/>
      <c r="B852" s="2100"/>
      <c r="C852" s="2100"/>
      <c r="D852" s="2100"/>
      <c r="E852" s="2099"/>
      <c r="F852" s="2099" t="s">
        <v>1866</v>
      </c>
      <c r="G852" s="2115" t="s">
        <v>1867</v>
      </c>
      <c r="H852" s="2099" t="s">
        <v>1833</v>
      </c>
      <c r="I852" s="2099"/>
      <c r="J852" s="2102">
        <v>0.3</v>
      </c>
      <c r="K852" s="2171">
        <f>'TH vat tu XD'!G196</f>
        <v>228500</v>
      </c>
      <c r="L852" s="2104"/>
      <c r="M852" s="2103">
        <f>IF(L852=0,J852*K852,J852*K852*L852)</f>
        <v>68550</v>
      </c>
      <c r="N852" s="2106">
        <f>IF(L852=0,I847*J852,I847*J852*L852)</f>
        <v>0.3</v>
      </c>
      <c r="O852" s="2106"/>
      <c r="P852" s="1952"/>
      <c r="Q852" s="2025"/>
      <c r="R852" s="2025"/>
      <c r="S852" s="2025"/>
    </row>
    <row r="853" spans="1:19" s="474" customFormat="1" ht="15" hidden="1">
      <c r="A853" s="2099"/>
      <c r="B853" s="2100"/>
      <c r="C853" s="2100"/>
      <c r="D853" s="2100"/>
      <c r="E853" s="2099"/>
      <c r="F853" s="2099"/>
      <c r="G853" s="2101" t="s">
        <v>109</v>
      </c>
      <c r="H853" s="2099"/>
      <c r="I853" s="2099"/>
      <c r="J853" s="2099" t="s">
        <v>333</v>
      </c>
      <c r="K853" s="2103"/>
      <c r="L853" s="2104"/>
      <c r="M853" s="2105">
        <f>M848+M851+0</f>
        <v>370470</v>
      </c>
      <c r="N853" s="2106"/>
      <c r="O853" s="2106"/>
      <c r="P853" s="1952"/>
      <c r="Q853" s="2025"/>
      <c r="R853" s="2025"/>
      <c r="S853" s="2025"/>
    </row>
    <row r="854" spans="1:19" s="474" customFormat="1" ht="15" hidden="1">
      <c r="A854" s="2099"/>
      <c r="B854" s="2100"/>
      <c r="C854" s="2100"/>
      <c r="D854" s="2100"/>
      <c r="E854" s="2099"/>
      <c r="F854" s="2099"/>
      <c r="G854" s="2101" t="s">
        <v>378</v>
      </c>
      <c r="H854" s="2099"/>
      <c r="I854" s="2099"/>
      <c r="J854" s="2099" t="str">
        <f ca="1">"T*"&amp;'THCP xay dung'!F222*100&amp;"%"</f>
        <v>T*6,2%</v>
      </c>
      <c r="K854" s="2103"/>
      <c r="L854" s="2104"/>
      <c r="M854" s="2105">
        <f ca="1">M853*'THCP xay dung'!F222*100%</f>
        <v>22969.14</v>
      </c>
      <c r="N854" s="2106"/>
      <c r="O854" s="2106"/>
      <c r="P854" s="1952"/>
      <c r="Q854" s="2025"/>
      <c r="R854" s="2025"/>
      <c r="S854" s="2025"/>
    </row>
    <row r="855" spans="1:19" s="474" customFormat="1" ht="28.5" hidden="1">
      <c r="A855" s="2099"/>
      <c r="B855" s="2100"/>
      <c r="C855" s="2100"/>
      <c r="D855" s="2100"/>
      <c r="E855" s="2099"/>
      <c r="F855" s="2099"/>
      <c r="G855" s="2101" t="s">
        <v>702</v>
      </c>
      <c r="H855" s="2099"/>
      <c r="I855" s="2099"/>
      <c r="J855" s="2099" t="str">
        <f>IF('THCP xay dung'!G223&lt;&gt;1,"T*"&amp;'THCP xay dung'!F223*100&amp;"%"&amp;"*"&amp;'THCP xay dung'!G223,"T*"&amp;'THCP xay dung'!F223*100&amp;"%")</f>
        <v>T*1,1%</v>
      </c>
      <c r="K855" s="2103"/>
      <c r="L855" s="2104"/>
      <c r="M855" s="2105">
        <f>IF('THCP xay dung'!G223&lt;&gt;1,M853*'THCP xay dung'!F223*100%*'THCP xay dung'!G223,M853*'THCP xay dung'!F223*100%)</f>
        <v>4075.1700000000005</v>
      </c>
      <c r="N855" s="2106"/>
      <c r="O855" s="2106"/>
      <c r="P855" s="1952"/>
      <c r="Q855" s="2025"/>
      <c r="R855" s="2025"/>
      <c r="S855" s="2025"/>
    </row>
    <row r="856" spans="1:19" s="474" customFormat="1" ht="42.75" hidden="1">
      <c r="A856" s="2099"/>
      <c r="B856" s="2100"/>
      <c r="C856" s="2100"/>
      <c r="D856" s="2100"/>
      <c r="E856" s="2099"/>
      <c r="F856" s="2099"/>
      <c r="G856" s="2101" t="s">
        <v>703</v>
      </c>
      <c r="H856" s="2099"/>
      <c r="I856" s="2099"/>
      <c r="J856" s="2099" t="str">
        <f ca="1">"T*"&amp;'THCP xay dung'!F224*100&amp;"%"</f>
        <v>T*2%</v>
      </c>
      <c r="K856" s="2103"/>
      <c r="L856" s="2104"/>
      <c r="M856" s="2105">
        <f ca="1">M853*'THCP xay dung'!F224*100%</f>
        <v>7409.4000000000005</v>
      </c>
      <c r="N856" s="2106"/>
      <c r="O856" s="2106"/>
      <c r="P856" s="1952"/>
      <c r="Q856" s="2025"/>
      <c r="R856" s="2025"/>
      <c r="S856" s="2025"/>
    </row>
    <row r="857" spans="1:19" s="474" customFormat="1" ht="15" hidden="1">
      <c r="A857" s="2099"/>
      <c r="B857" s="2100"/>
      <c r="C857" s="2100"/>
      <c r="D857" s="2100"/>
      <c r="E857" s="2099"/>
      <c r="F857" s="2099"/>
      <c r="G857" s="2101" t="s">
        <v>701</v>
      </c>
      <c r="H857" s="2099"/>
      <c r="I857" s="2099"/>
      <c r="J857" s="2099" t="s">
        <v>931</v>
      </c>
      <c r="K857" s="2103"/>
      <c r="L857" s="2104"/>
      <c r="M857" s="2105">
        <f ca="1">M854+M855+M856</f>
        <v>34453.71</v>
      </c>
      <c r="N857" s="2106"/>
      <c r="O857" s="2106"/>
      <c r="P857" s="1952"/>
      <c r="Q857" s="2025"/>
      <c r="R857" s="2025"/>
      <c r="S857" s="2025"/>
    </row>
    <row r="858" spans="1:19" s="474" customFormat="1" ht="15" hidden="1">
      <c r="A858" s="2099"/>
      <c r="B858" s="2100"/>
      <c r="C858" s="2100"/>
      <c r="D858" s="2100"/>
      <c r="E858" s="2099"/>
      <c r="F858" s="2099"/>
      <c r="G858" s="2101" t="s">
        <v>574</v>
      </c>
      <c r="H858" s="2099"/>
      <c r="I858" s="2099"/>
      <c r="J858" s="2099" t="str">
        <f ca="1">"(T+GT)*"&amp;'THCP xay dung'!F226*100&amp;"%"</f>
        <v>(T+GT)*6%</v>
      </c>
      <c r="K858" s="2103"/>
      <c r="L858" s="2104"/>
      <c r="M858" s="2105">
        <f ca="1">(M853+M857)*'THCP xay dung'!F226*100%</f>
        <v>24295.422600000002</v>
      </c>
      <c r="N858" s="2106"/>
      <c r="O858" s="2106"/>
      <c r="P858" s="1952"/>
      <c r="Q858" s="2025"/>
      <c r="R858" s="2025"/>
      <c r="S858" s="2025"/>
    </row>
    <row r="859" spans="1:19" s="474" customFormat="1" ht="15" hidden="1">
      <c r="A859" s="2099"/>
      <c r="B859" s="2100"/>
      <c r="C859" s="2100"/>
      <c r="D859" s="2100"/>
      <c r="E859" s="2099"/>
      <c r="F859" s="2099"/>
      <c r="G859" s="2101" t="s">
        <v>113</v>
      </c>
      <c r="H859" s="2099"/>
      <c r="I859" s="2099"/>
      <c r="J859" s="2099" t="s">
        <v>705</v>
      </c>
      <c r="K859" s="2103"/>
      <c r="L859" s="2104"/>
      <c r="M859" s="2105">
        <f ca="1">M853+M857+M858</f>
        <v>429219.13260000001</v>
      </c>
      <c r="N859" s="2106"/>
      <c r="O859" s="2106"/>
      <c r="P859" s="1952"/>
      <c r="Q859" s="2025"/>
      <c r="R859" s="2025"/>
      <c r="S859" s="2025"/>
    </row>
    <row r="860" spans="1:19" s="474" customFormat="1" ht="15" hidden="1">
      <c r="A860" s="2099"/>
      <c r="B860" s="2100"/>
      <c r="C860" s="2100"/>
      <c r="D860" s="2100"/>
      <c r="E860" s="2099"/>
      <c r="F860" s="2099"/>
      <c r="G860" s="2101" t="s">
        <v>575</v>
      </c>
      <c r="H860" s="2099"/>
      <c r="I860" s="2099"/>
      <c r="J860" s="2099" t="str">
        <f>"G*"&amp;'THCP xay dung'!F228*100&amp;"%"</f>
        <v>G*10%</v>
      </c>
      <c r="K860" s="2103"/>
      <c r="L860" s="2104"/>
      <c r="M860" s="2105">
        <f ca="1">M859*'THCP xay dung'!F228*100%</f>
        <v>42921.913260000001</v>
      </c>
      <c r="N860" s="2106"/>
      <c r="O860" s="2106"/>
      <c r="P860" s="1952"/>
      <c r="Q860" s="2025"/>
      <c r="R860" s="2025"/>
      <c r="S860" s="2025"/>
    </row>
    <row r="861" spans="1:19" s="474" customFormat="1" ht="15" hidden="1">
      <c r="A861" s="2099"/>
      <c r="B861" s="2100"/>
      <c r="C861" s="2100"/>
      <c r="D861" s="2100"/>
      <c r="E861" s="2099"/>
      <c r="F861" s="2099"/>
      <c r="G861" s="2101" t="s">
        <v>117</v>
      </c>
      <c r="H861" s="2099"/>
      <c r="I861" s="2099"/>
      <c r="J861" s="2099" t="s">
        <v>596</v>
      </c>
      <c r="K861" s="2103"/>
      <c r="L861" s="2104"/>
      <c r="M861" s="2105">
        <f ca="1">M859+M860</f>
        <v>472141.04586000001</v>
      </c>
      <c r="N861" s="2106"/>
      <c r="O861" s="2106"/>
      <c r="P861" s="1952"/>
      <c r="Q861" s="2025"/>
      <c r="R861" s="2025"/>
      <c r="S861" s="2025"/>
    </row>
    <row r="862" spans="1:19" s="474" customFormat="1" ht="15" hidden="1">
      <c r="A862" s="2099"/>
      <c r="B862" s="2100"/>
      <c r="C862" s="2100"/>
      <c r="D862" s="2100"/>
      <c r="E862" s="2099"/>
      <c r="F862" s="2099"/>
      <c r="G862" s="2101" t="s">
        <v>168</v>
      </c>
      <c r="H862" s="2099"/>
      <c r="I862" s="2099"/>
      <c r="J862" s="2099" t="str">
        <f ca="1">"GXD*"&amp;'THCP xay dung'!F230*100&amp;"%"</f>
        <v>GXD*6%</v>
      </c>
      <c r="K862" s="2103"/>
      <c r="L862" s="2104"/>
      <c r="M862" s="2105">
        <f ca="1">M861*'THCP xay dung'!F230*100%</f>
        <v>28328.4627516</v>
      </c>
      <c r="N862" s="2106"/>
      <c r="O862" s="2106"/>
      <c r="P862" s="1952"/>
      <c r="Q862" s="2025"/>
      <c r="R862" s="2025"/>
      <c r="S862" s="2025"/>
    </row>
    <row r="863" spans="1:19" s="474" customFormat="1" ht="15" hidden="1">
      <c r="A863" s="2122" t="s">
        <v>304</v>
      </c>
      <c r="B863" s="2123"/>
      <c r="C863" s="2123"/>
      <c r="D863" s="2123"/>
      <c r="E863" s="2122"/>
      <c r="F863" s="2122"/>
      <c r="G863" s="2109" t="s">
        <v>1837</v>
      </c>
      <c r="H863" s="2107"/>
      <c r="I863" s="2107"/>
      <c r="J863" s="2107" t="s">
        <v>1636</v>
      </c>
      <c r="K863" s="2110"/>
      <c r="L863" s="2111"/>
      <c r="M863" s="2112">
        <f ca="1">M861+M862</f>
        <v>500469.50861160003</v>
      </c>
      <c r="N863" s="2113"/>
      <c r="O863" s="2113"/>
      <c r="P863" s="1952"/>
      <c r="Q863" s="2025"/>
      <c r="R863" s="2025"/>
      <c r="S863" s="2025"/>
    </row>
    <row r="864" spans="1:19" s="474" customFormat="1" ht="15">
      <c r="A864" s="2159">
        <v>104</v>
      </c>
      <c r="B864" s="2160">
        <f>'Du toan XD'!B314</f>
        <v>3</v>
      </c>
      <c r="C864" s="2160"/>
      <c r="D864" s="2160" t="s">
        <v>1573</v>
      </c>
      <c r="E864" s="2159" t="s">
        <v>1573</v>
      </c>
      <c r="F864" s="2159"/>
      <c r="G864" s="2165" t="str">
        <f>'Du toan XD'!F314</f>
        <v>Aptomat MCB-1P-32A-6kA</v>
      </c>
      <c r="H864" s="2159" t="str">
        <f>'Du toan XD'!G314</f>
        <v>cái</v>
      </c>
      <c r="I864" s="2159">
        <f>'Du toan XD'!H314</f>
        <v>1</v>
      </c>
      <c r="J864" s="2161"/>
      <c r="K864" s="2162"/>
      <c r="L864" s="2163"/>
      <c r="M864" s="2162"/>
      <c r="N864" s="2164"/>
      <c r="O864" s="2164"/>
      <c r="P864" s="1952">
        <f>M865</f>
        <v>35458</v>
      </c>
      <c r="Q864" s="2025"/>
      <c r="R864" s="2025">
        <f>M868</f>
        <v>34275</v>
      </c>
      <c r="S864" s="2025"/>
    </row>
    <row r="865" spans="1:19" s="474" customFormat="1" ht="15">
      <c r="A865" s="2099"/>
      <c r="B865" s="2100"/>
      <c r="C865" s="2100"/>
      <c r="D865" s="2100"/>
      <c r="E865" s="2099"/>
      <c r="F865" s="2099"/>
      <c r="G865" s="2116" t="s">
        <v>224</v>
      </c>
      <c r="H865" s="2116"/>
      <c r="I865" s="2116"/>
      <c r="J865" s="2120"/>
      <c r="K865" s="2118"/>
      <c r="L865" s="2119"/>
      <c r="M865" s="2118">
        <f>ROUND(SUM(M866:M867),Config!C103)</f>
        <v>35458</v>
      </c>
      <c r="N865" s="2106"/>
      <c r="O865" s="2106"/>
      <c r="P865" s="1952"/>
      <c r="Q865" s="2025"/>
      <c r="R865" s="2025"/>
      <c r="S865" s="2025"/>
    </row>
    <row r="866" spans="1:19" s="474" customFormat="1" ht="15">
      <c r="A866" s="2099"/>
      <c r="B866" s="2100"/>
      <c r="C866" s="2100"/>
      <c r="D866" s="2100"/>
      <c r="E866" s="2099"/>
      <c r="F866" s="2099" t="s">
        <v>2002</v>
      </c>
      <c r="G866" s="2115" t="s">
        <v>2003</v>
      </c>
      <c r="H866" s="2099" t="s">
        <v>1955</v>
      </c>
      <c r="I866" s="2099"/>
      <c r="J866" s="2102">
        <v>1</v>
      </c>
      <c r="K866" s="2171">
        <f>'TH vat tu XD'!G180</f>
        <v>34425</v>
      </c>
      <c r="L866" s="2104"/>
      <c r="M866" s="2103">
        <f>IF(L866=0,J866*K866,J866*K866*L866)</f>
        <v>34425</v>
      </c>
      <c r="N866" s="2106">
        <f>IF(L866=0,I864*J866,I864*J866*L866)</f>
        <v>1</v>
      </c>
      <c r="O866" s="2106">
        <f>J867%*N866</f>
        <v>0.03</v>
      </c>
      <c r="P866" s="1952"/>
      <c r="Q866" s="2025"/>
      <c r="R866" s="2025"/>
      <c r="S866" s="2025"/>
    </row>
    <row r="867" spans="1:19" s="474" customFormat="1" ht="15">
      <c r="A867" s="2099"/>
      <c r="B867" s="2100"/>
      <c r="C867" s="2100"/>
      <c r="D867" s="2100"/>
      <c r="E867" s="2099"/>
      <c r="F867" s="2099" t="s">
        <v>1882</v>
      </c>
      <c r="G867" s="2115" t="s">
        <v>226</v>
      </c>
      <c r="H867" s="2099" t="s">
        <v>1850</v>
      </c>
      <c r="I867" s="2099"/>
      <c r="J867" s="2102">
        <v>3</v>
      </c>
      <c r="K867" s="2103"/>
      <c r="L867" s="2104"/>
      <c r="M867" s="2103">
        <f>SUM(M866:M866)*J867%</f>
        <v>1032.75</v>
      </c>
      <c r="N867" s="2106"/>
      <c r="O867" s="2106"/>
      <c r="P867" s="1952"/>
      <c r="Q867" s="2025"/>
      <c r="R867" s="2025"/>
      <c r="S867" s="2025"/>
    </row>
    <row r="868" spans="1:19" s="474" customFormat="1" ht="15">
      <c r="A868" s="2099"/>
      <c r="B868" s="2100"/>
      <c r="C868" s="2100"/>
      <c r="D868" s="2100"/>
      <c r="E868" s="2099"/>
      <c r="F868" s="2099"/>
      <c r="G868" s="2116" t="s">
        <v>225</v>
      </c>
      <c r="H868" s="2116"/>
      <c r="I868" s="2116"/>
      <c r="J868" s="2120"/>
      <c r="K868" s="2118"/>
      <c r="L868" s="2119"/>
      <c r="M868" s="2118">
        <f>ROUND(SUM(M869:M869),Config!C103)</f>
        <v>34275</v>
      </c>
      <c r="N868" s="2106"/>
      <c r="O868" s="2106"/>
      <c r="P868" s="1952"/>
      <c r="Q868" s="2025"/>
      <c r="R868" s="2025"/>
      <c r="S868" s="2025"/>
    </row>
    <row r="869" spans="1:19" s="474" customFormat="1" ht="15">
      <c r="A869" s="2099"/>
      <c r="B869" s="2100"/>
      <c r="C869" s="2100"/>
      <c r="D869" s="2100"/>
      <c r="E869" s="2099"/>
      <c r="F869" s="2099" t="s">
        <v>1866</v>
      </c>
      <c r="G869" s="2115" t="s">
        <v>1867</v>
      </c>
      <c r="H869" s="2099" t="s">
        <v>1833</v>
      </c>
      <c r="I869" s="2099"/>
      <c r="J869" s="2102">
        <v>0.15</v>
      </c>
      <c r="K869" s="2171">
        <f>'TH vat tu XD'!G196</f>
        <v>228500</v>
      </c>
      <c r="L869" s="2104"/>
      <c r="M869" s="2103">
        <f>IF(L869=0,J869*K869,J869*K869*L869)</f>
        <v>34275</v>
      </c>
      <c r="N869" s="2106">
        <f>IF(L869=0,I864*J869,I864*J869*L869)</f>
        <v>0.15</v>
      </c>
      <c r="O869" s="2106"/>
      <c r="P869" s="1952"/>
      <c r="Q869" s="2025"/>
      <c r="R869" s="2025"/>
      <c r="S869" s="2025"/>
    </row>
    <row r="870" spans="1:19" s="474" customFormat="1" ht="15" hidden="1">
      <c r="A870" s="2099"/>
      <c r="B870" s="2100"/>
      <c r="C870" s="2100"/>
      <c r="D870" s="2100"/>
      <c r="E870" s="2099"/>
      <c r="F870" s="2099"/>
      <c r="G870" s="2101" t="s">
        <v>109</v>
      </c>
      <c r="H870" s="2099"/>
      <c r="I870" s="2099"/>
      <c r="J870" s="2099" t="s">
        <v>333</v>
      </c>
      <c r="K870" s="2103"/>
      <c r="L870" s="2104"/>
      <c r="M870" s="2105">
        <f>M865+M868+0</f>
        <v>69733</v>
      </c>
      <c r="N870" s="2106"/>
      <c r="O870" s="2106"/>
      <c r="P870" s="1952"/>
      <c r="Q870" s="2025"/>
      <c r="R870" s="2025"/>
      <c r="S870" s="2025"/>
    </row>
    <row r="871" spans="1:19" s="474" customFormat="1" ht="15" hidden="1">
      <c r="A871" s="2099"/>
      <c r="B871" s="2100"/>
      <c r="C871" s="2100"/>
      <c r="D871" s="2100"/>
      <c r="E871" s="2099"/>
      <c r="F871" s="2099"/>
      <c r="G871" s="2101" t="s">
        <v>378</v>
      </c>
      <c r="H871" s="2099"/>
      <c r="I871" s="2099"/>
      <c r="J871" s="2099" t="str">
        <f ca="1">"T*"&amp;'THCP xay dung'!F222*100&amp;"%"</f>
        <v>T*6,2%</v>
      </c>
      <c r="K871" s="2103"/>
      <c r="L871" s="2104"/>
      <c r="M871" s="2105">
        <f ca="1">M870*'THCP xay dung'!F222*100%</f>
        <v>4323.4459999999999</v>
      </c>
      <c r="N871" s="2106"/>
      <c r="O871" s="2106"/>
      <c r="P871" s="1952"/>
      <c r="Q871" s="2025"/>
      <c r="R871" s="2025"/>
      <c r="S871" s="2025"/>
    </row>
    <row r="872" spans="1:19" s="474" customFormat="1" ht="28.5" hidden="1">
      <c r="A872" s="2099"/>
      <c r="B872" s="2100"/>
      <c r="C872" s="2100"/>
      <c r="D872" s="2100"/>
      <c r="E872" s="2099"/>
      <c r="F872" s="2099"/>
      <c r="G872" s="2101" t="s">
        <v>702</v>
      </c>
      <c r="H872" s="2099"/>
      <c r="I872" s="2099"/>
      <c r="J872" s="2099" t="str">
        <f>IF('THCP xay dung'!G223&lt;&gt;1,"T*"&amp;'THCP xay dung'!F223*100&amp;"%"&amp;"*"&amp;'THCP xay dung'!G223,"T*"&amp;'THCP xay dung'!F223*100&amp;"%")</f>
        <v>T*1,1%</v>
      </c>
      <c r="K872" s="2103"/>
      <c r="L872" s="2104"/>
      <c r="M872" s="2105">
        <f>IF('THCP xay dung'!G223&lt;&gt;1,M870*'THCP xay dung'!F223*100%*'THCP xay dung'!G223,M870*'THCP xay dung'!F223*100%)</f>
        <v>767.0630000000001</v>
      </c>
      <c r="N872" s="2106"/>
      <c r="O872" s="2106"/>
      <c r="P872" s="1952"/>
      <c r="Q872" s="2025"/>
      <c r="R872" s="2025"/>
      <c r="S872" s="2025"/>
    </row>
    <row r="873" spans="1:19" s="474" customFormat="1" ht="42.75" hidden="1">
      <c r="A873" s="2099"/>
      <c r="B873" s="2100"/>
      <c r="C873" s="2100"/>
      <c r="D873" s="2100"/>
      <c r="E873" s="2099"/>
      <c r="F873" s="2099"/>
      <c r="G873" s="2101" t="s">
        <v>703</v>
      </c>
      <c r="H873" s="2099"/>
      <c r="I873" s="2099"/>
      <c r="J873" s="2099" t="str">
        <f ca="1">"T*"&amp;'THCP xay dung'!F224*100&amp;"%"</f>
        <v>T*2%</v>
      </c>
      <c r="K873" s="2103"/>
      <c r="L873" s="2104"/>
      <c r="M873" s="2105">
        <f ca="1">M870*'THCP xay dung'!F224*100%</f>
        <v>1394.66</v>
      </c>
      <c r="N873" s="2106"/>
      <c r="O873" s="2106"/>
      <c r="P873" s="1952"/>
      <c r="Q873" s="2025"/>
      <c r="R873" s="2025"/>
      <c r="S873" s="2025"/>
    </row>
    <row r="874" spans="1:19" s="474" customFormat="1" ht="15" hidden="1">
      <c r="A874" s="2099"/>
      <c r="B874" s="2100"/>
      <c r="C874" s="2100"/>
      <c r="D874" s="2100"/>
      <c r="E874" s="2099"/>
      <c r="F874" s="2099"/>
      <c r="G874" s="2101" t="s">
        <v>701</v>
      </c>
      <c r="H874" s="2099"/>
      <c r="I874" s="2099"/>
      <c r="J874" s="2099" t="s">
        <v>931</v>
      </c>
      <c r="K874" s="2103"/>
      <c r="L874" s="2104"/>
      <c r="M874" s="2105">
        <f ca="1">M871+M872+M873</f>
        <v>6485.1689999999999</v>
      </c>
      <c r="N874" s="2106"/>
      <c r="O874" s="2106"/>
      <c r="P874" s="1952"/>
      <c r="Q874" s="2025"/>
      <c r="R874" s="2025"/>
      <c r="S874" s="2025"/>
    </row>
    <row r="875" spans="1:19" s="474" customFormat="1" ht="15" hidden="1">
      <c r="A875" s="2099"/>
      <c r="B875" s="2100"/>
      <c r="C875" s="2100"/>
      <c r="D875" s="2100"/>
      <c r="E875" s="2099"/>
      <c r="F875" s="2099"/>
      <c r="G875" s="2101" t="s">
        <v>574</v>
      </c>
      <c r="H875" s="2099"/>
      <c r="I875" s="2099"/>
      <c r="J875" s="2099" t="str">
        <f ca="1">"(T+GT)*"&amp;'THCP xay dung'!F226*100&amp;"%"</f>
        <v>(T+GT)*6%</v>
      </c>
      <c r="K875" s="2103"/>
      <c r="L875" s="2104"/>
      <c r="M875" s="2105">
        <f ca="1">(M870+M874)*'THCP xay dung'!F226*100%</f>
        <v>4573.0901399999993</v>
      </c>
      <c r="N875" s="2106"/>
      <c r="O875" s="2106"/>
      <c r="P875" s="1952"/>
      <c r="Q875" s="2025"/>
      <c r="R875" s="2025"/>
      <c r="S875" s="2025"/>
    </row>
    <row r="876" spans="1:19" s="474" customFormat="1" ht="15" hidden="1">
      <c r="A876" s="2099"/>
      <c r="B876" s="2100"/>
      <c r="C876" s="2100"/>
      <c r="D876" s="2100"/>
      <c r="E876" s="2099"/>
      <c r="F876" s="2099"/>
      <c r="G876" s="2101" t="s">
        <v>113</v>
      </c>
      <c r="H876" s="2099"/>
      <c r="I876" s="2099"/>
      <c r="J876" s="2099" t="s">
        <v>705</v>
      </c>
      <c r="K876" s="2103"/>
      <c r="L876" s="2104"/>
      <c r="M876" s="2105">
        <f ca="1">M870+M874+M875</f>
        <v>80791.259139999995</v>
      </c>
      <c r="N876" s="2106"/>
      <c r="O876" s="2106"/>
      <c r="P876" s="1952"/>
      <c r="Q876" s="2025"/>
      <c r="R876" s="2025"/>
      <c r="S876" s="2025"/>
    </row>
    <row r="877" spans="1:19" s="474" customFormat="1" ht="15" hidden="1">
      <c r="A877" s="2099"/>
      <c r="B877" s="2100"/>
      <c r="C877" s="2100"/>
      <c r="D877" s="2100"/>
      <c r="E877" s="2099"/>
      <c r="F877" s="2099"/>
      <c r="G877" s="2101" t="s">
        <v>575</v>
      </c>
      <c r="H877" s="2099"/>
      <c r="I877" s="2099"/>
      <c r="J877" s="2099" t="str">
        <f>"G*"&amp;'THCP xay dung'!F228*100&amp;"%"</f>
        <v>G*10%</v>
      </c>
      <c r="K877" s="2103"/>
      <c r="L877" s="2104"/>
      <c r="M877" s="2105">
        <f ca="1">M876*'THCP xay dung'!F228*100%</f>
        <v>8079.1259140000002</v>
      </c>
      <c r="N877" s="2106"/>
      <c r="O877" s="2106"/>
      <c r="P877" s="1952"/>
      <c r="Q877" s="2025"/>
      <c r="R877" s="2025"/>
      <c r="S877" s="2025"/>
    </row>
    <row r="878" spans="1:19" s="474" customFormat="1" ht="15" hidden="1">
      <c r="A878" s="2099"/>
      <c r="B878" s="2100"/>
      <c r="C878" s="2100"/>
      <c r="D878" s="2100"/>
      <c r="E878" s="2099"/>
      <c r="F878" s="2099"/>
      <c r="G878" s="2101" t="s">
        <v>117</v>
      </c>
      <c r="H878" s="2099"/>
      <c r="I878" s="2099"/>
      <c r="J878" s="2099" t="s">
        <v>596</v>
      </c>
      <c r="K878" s="2103"/>
      <c r="L878" s="2104"/>
      <c r="M878" s="2105">
        <f ca="1">M876+M877</f>
        <v>88870.385053999998</v>
      </c>
      <c r="N878" s="2106"/>
      <c r="O878" s="2106"/>
      <c r="P878" s="1952"/>
      <c r="Q878" s="2025"/>
      <c r="R878" s="2025"/>
      <c r="S878" s="2025"/>
    </row>
    <row r="879" spans="1:19" s="474" customFormat="1" ht="15" hidden="1">
      <c r="A879" s="2099"/>
      <c r="B879" s="2100"/>
      <c r="C879" s="2100"/>
      <c r="D879" s="2100"/>
      <c r="E879" s="2099"/>
      <c r="F879" s="2099"/>
      <c r="G879" s="2101" t="s">
        <v>168</v>
      </c>
      <c r="H879" s="2099"/>
      <c r="I879" s="2099"/>
      <c r="J879" s="2099" t="str">
        <f ca="1">"GXD*"&amp;'THCP xay dung'!F230*100&amp;"%"</f>
        <v>GXD*6%</v>
      </c>
      <c r="K879" s="2103"/>
      <c r="L879" s="2104"/>
      <c r="M879" s="2105">
        <f ca="1">M878*'THCP xay dung'!F230*100%</f>
        <v>5332.2231032399995</v>
      </c>
      <c r="N879" s="2106"/>
      <c r="O879" s="2106"/>
      <c r="P879" s="1952"/>
      <c r="Q879" s="2025"/>
      <c r="R879" s="2025"/>
      <c r="S879" s="2025"/>
    </row>
    <row r="880" spans="1:19" s="474" customFormat="1" ht="15" hidden="1">
      <c r="A880" s="2122" t="s">
        <v>304</v>
      </c>
      <c r="B880" s="2123"/>
      <c r="C880" s="2123"/>
      <c r="D880" s="2123"/>
      <c r="E880" s="2122"/>
      <c r="F880" s="2122"/>
      <c r="G880" s="2109" t="s">
        <v>1837</v>
      </c>
      <c r="H880" s="2107"/>
      <c r="I880" s="2107"/>
      <c r="J880" s="2107" t="s">
        <v>1636</v>
      </c>
      <c r="K880" s="2110"/>
      <c r="L880" s="2111"/>
      <c r="M880" s="2112">
        <f ca="1">M878+M879</f>
        <v>94202.60815724</v>
      </c>
      <c r="N880" s="2113"/>
      <c r="O880" s="2113"/>
      <c r="P880" s="1952"/>
      <c r="Q880" s="2025"/>
      <c r="R880" s="2025"/>
      <c r="S880" s="2025"/>
    </row>
    <row r="881" spans="1:19" s="474" customFormat="1" ht="15">
      <c r="A881" s="2159">
        <v>105</v>
      </c>
      <c r="B881" s="2160">
        <f>'Du toan XD'!B315</f>
        <v>4</v>
      </c>
      <c r="C881" s="2160"/>
      <c r="D881" s="2160" t="s">
        <v>1573</v>
      </c>
      <c r="E881" s="2159" t="s">
        <v>1573</v>
      </c>
      <c r="F881" s="2159"/>
      <c r="G881" s="2165" t="str">
        <f>'Du toan XD'!F315</f>
        <v>Aptomat MCB-1P-16A-6kA</v>
      </c>
      <c r="H881" s="2159" t="str">
        <f>'Du toan XD'!G315</f>
        <v>cái</v>
      </c>
      <c r="I881" s="2159">
        <f>'Du toan XD'!H315</f>
        <v>1</v>
      </c>
      <c r="J881" s="2161"/>
      <c r="K881" s="2162"/>
      <c r="L881" s="2163"/>
      <c r="M881" s="2162"/>
      <c r="N881" s="2164"/>
      <c r="O881" s="2164"/>
      <c r="P881" s="1952">
        <f>M882</f>
        <v>35458</v>
      </c>
      <c r="Q881" s="2025"/>
      <c r="R881" s="2025">
        <f>M885</f>
        <v>34275</v>
      </c>
      <c r="S881" s="2025"/>
    </row>
    <row r="882" spans="1:19" s="474" customFormat="1" ht="15">
      <c r="A882" s="2099"/>
      <c r="B882" s="2100"/>
      <c r="C882" s="2100"/>
      <c r="D882" s="2100"/>
      <c r="E882" s="2099"/>
      <c r="F882" s="2099"/>
      <c r="G882" s="2116" t="s">
        <v>224</v>
      </c>
      <c r="H882" s="2116"/>
      <c r="I882" s="2116"/>
      <c r="J882" s="2120"/>
      <c r="K882" s="2118"/>
      <c r="L882" s="2119"/>
      <c r="M882" s="2118">
        <f>ROUND(SUM(M883:M884),Config!C103)</f>
        <v>35458</v>
      </c>
      <c r="N882" s="2106"/>
      <c r="O882" s="2106"/>
      <c r="P882" s="1952"/>
      <c r="Q882" s="2025"/>
      <c r="R882" s="2025"/>
      <c r="S882" s="2025"/>
    </row>
    <row r="883" spans="1:19" s="474" customFormat="1" ht="15">
      <c r="A883" s="2099"/>
      <c r="B883" s="2100"/>
      <c r="C883" s="2100"/>
      <c r="D883" s="2100"/>
      <c r="E883" s="2099"/>
      <c r="F883" s="2099" t="s">
        <v>2002</v>
      </c>
      <c r="G883" s="2115" t="s">
        <v>2003</v>
      </c>
      <c r="H883" s="2099" t="s">
        <v>1955</v>
      </c>
      <c r="I883" s="2099"/>
      <c r="J883" s="2102">
        <v>1</v>
      </c>
      <c r="K883" s="2171">
        <f>'TH vat tu XD'!G180</f>
        <v>34425</v>
      </c>
      <c r="L883" s="2104"/>
      <c r="M883" s="2103">
        <f>IF(L883=0,J883*K883,J883*K883*L883)</f>
        <v>34425</v>
      </c>
      <c r="N883" s="2106">
        <f>IF(L883=0,I881*J883,I881*J883*L883)</f>
        <v>1</v>
      </c>
      <c r="O883" s="2106">
        <f>J884%*N883</f>
        <v>0.03</v>
      </c>
      <c r="P883" s="1952"/>
      <c r="Q883" s="2025"/>
      <c r="R883" s="2025"/>
      <c r="S883" s="2025"/>
    </row>
    <row r="884" spans="1:19" s="474" customFormat="1" ht="15">
      <c r="A884" s="2099"/>
      <c r="B884" s="2100"/>
      <c r="C884" s="2100"/>
      <c r="D884" s="2100"/>
      <c r="E884" s="2099"/>
      <c r="F884" s="2099" t="s">
        <v>1882</v>
      </c>
      <c r="G884" s="2115" t="s">
        <v>226</v>
      </c>
      <c r="H884" s="2099" t="s">
        <v>1850</v>
      </c>
      <c r="I884" s="2099"/>
      <c r="J884" s="2102">
        <v>3</v>
      </c>
      <c r="K884" s="2103"/>
      <c r="L884" s="2104"/>
      <c r="M884" s="2103">
        <f>SUM(M883:M883)*J884%</f>
        <v>1032.75</v>
      </c>
      <c r="N884" s="2106"/>
      <c r="O884" s="2106"/>
      <c r="P884" s="1952"/>
      <c r="Q884" s="2025"/>
      <c r="R884" s="2025"/>
      <c r="S884" s="2025"/>
    </row>
    <row r="885" spans="1:19" s="474" customFormat="1" ht="15">
      <c r="A885" s="2099"/>
      <c r="B885" s="2100"/>
      <c r="C885" s="2100"/>
      <c r="D885" s="2100"/>
      <c r="E885" s="2099"/>
      <c r="F885" s="2099"/>
      <c r="G885" s="2116" t="s">
        <v>225</v>
      </c>
      <c r="H885" s="2116"/>
      <c r="I885" s="2116"/>
      <c r="J885" s="2120"/>
      <c r="K885" s="2118"/>
      <c r="L885" s="2119"/>
      <c r="M885" s="2118">
        <f>ROUND(SUM(M886:M886),Config!C103)</f>
        <v>34275</v>
      </c>
      <c r="N885" s="2106"/>
      <c r="O885" s="2106"/>
      <c r="P885" s="1952"/>
      <c r="Q885" s="2025"/>
      <c r="R885" s="2025"/>
      <c r="S885" s="2025"/>
    </row>
    <row r="886" spans="1:19" s="474" customFormat="1" ht="15">
      <c r="A886" s="2099"/>
      <c r="B886" s="2100"/>
      <c r="C886" s="2100"/>
      <c r="D886" s="2100"/>
      <c r="E886" s="2099"/>
      <c r="F886" s="2099" t="s">
        <v>1866</v>
      </c>
      <c r="G886" s="2115" t="s">
        <v>1867</v>
      </c>
      <c r="H886" s="2099" t="s">
        <v>1833</v>
      </c>
      <c r="I886" s="2099"/>
      <c r="J886" s="2102">
        <v>0.15</v>
      </c>
      <c r="K886" s="2171">
        <f>'TH vat tu XD'!G196</f>
        <v>228500</v>
      </c>
      <c r="L886" s="2104"/>
      <c r="M886" s="2103">
        <f>IF(L886=0,J886*K886,J886*K886*L886)</f>
        <v>34275</v>
      </c>
      <c r="N886" s="2106">
        <f>IF(L886=0,I881*J886,I881*J886*L886)</f>
        <v>0.15</v>
      </c>
      <c r="O886" s="2106"/>
      <c r="P886" s="1952"/>
      <c r="Q886" s="2025"/>
      <c r="R886" s="2025"/>
      <c r="S886" s="2025"/>
    </row>
    <row r="887" spans="1:19" s="474" customFormat="1" ht="15" hidden="1">
      <c r="A887" s="2099"/>
      <c r="B887" s="2100"/>
      <c r="C887" s="2100"/>
      <c r="D887" s="2100"/>
      <c r="E887" s="2099"/>
      <c r="F887" s="2099"/>
      <c r="G887" s="2101" t="s">
        <v>109</v>
      </c>
      <c r="H887" s="2099"/>
      <c r="I887" s="2099"/>
      <c r="J887" s="2099" t="s">
        <v>333</v>
      </c>
      <c r="K887" s="2103"/>
      <c r="L887" s="2104"/>
      <c r="M887" s="2105">
        <f>M882+M885+0</f>
        <v>69733</v>
      </c>
      <c r="N887" s="2106"/>
      <c r="O887" s="2106"/>
      <c r="P887" s="1952"/>
      <c r="Q887" s="2025"/>
      <c r="R887" s="2025"/>
      <c r="S887" s="2025"/>
    </row>
    <row r="888" spans="1:19" s="474" customFormat="1" ht="15" hidden="1">
      <c r="A888" s="2099"/>
      <c r="B888" s="2100"/>
      <c r="C888" s="2100"/>
      <c r="D888" s="2100"/>
      <c r="E888" s="2099"/>
      <c r="F888" s="2099"/>
      <c r="G888" s="2101" t="s">
        <v>378</v>
      </c>
      <c r="H888" s="2099"/>
      <c r="I888" s="2099"/>
      <c r="J888" s="2099" t="str">
        <f ca="1">"T*"&amp;'THCP xay dung'!F222*100&amp;"%"</f>
        <v>T*6,2%</v>
      </c>
      <c r="K888" s="2103"/>
      <c r="L888" s="2104"/>
      <c r="M888" s="2105">
        <f ca="1">M887*'THCP xay dung'!F222*100%</f>
        <v>4323.4459999999999</v>
      </c>
      <c r="N888" s="2106"/>
      <c r="O888" s="2106"/>
      <c r="P888" s="1952"/>
      <c r="Q888" s="2025"/>
      <c r="R888" s="2025"/>
      <c r="S888" s="2025"/>
    </row>
    <row r="889" spans="1:19" s="474" customFormat="1" ht="28.5" hidden="1">
      <c r="A889" s="2099"/>
      <c r="B889" s="2100"/>
      <c r="C889" s="2100"/>
      <c r="D889" s="2100"/>
      <c r="E889" s="2099"/>
      <c r="F889" s="2099"/>
      <c r="G889" s="2101" t="s">
        <v>702</v>
      </c>
      <c r="H889" s="2099"/>
      <c r="I889" s="2099"/>
      <c r="J889" s="2099" t="str">
        <f>IF('THCP xay dung'!G223&lt;&gt;1,"T*"&amp;'THCP xay dung'!F223*100&amp;"%"&amp;"*"&amp;'THCP xay dung'!G223,"T*"&amp;'THCP xay dung'!F223*100&amp;"%")</f>
        <v>T*1,1%</v>
      </c>
      <c r="K889" s="2103"/>
      <c r="L889" s="2104"/>
      <c r="M889" s="2105">
        <f>IF('THCP xay dung'!G223&lt;&gt;1,M887*'THCP xay dung'!F223*100%*'THCP xay dung'!G223,M887*'THCP xay dung'!F223*100%)</f>
        <v>767.0630000000001</v>
      </c>
      <c r="N889" s="2106"/>
      <c r="O889" s="2106"/>
      <c r="P889" s="1952"/>
      <c r="Q889" s="2025"/>
      <c r="R889" s="2025"/>
      <c r="S889" s="2025"/>
    </row>
    <row r="890" spans="1:19" s="474" customFormat="1" ht="42.75" hidden="1">
      <c r="A890" s="2099"/>
      <c r="B890" s="2100"/>
      <c r="C890" s="2100"/>
      <c r="D890" s="2100"/>
      <c r="E890" s="2099"/>
      <c r="F890" s="2099"/>
      <c r="G890" s="2101" t="s">
        <v>703</v>
      </c>
      <c r="H890" s="2099"/>
      <c r="I890" s="2099"/>
      <c r="J890" s="2099" t="str">
        <f ca="1">"T*"&amp;'THCP xay dung'!F224*100&amp;"%"</f>
        <v>T*2%</v>
      </c>
      <c r="K890" s="2103"/>
      <c r="L890" s="2104"/>
      <c r="M890" s="2105">
        <f ca="1">M887*'THCP xay dung'!F224*100%</f>
        <v>1394.66</v>
      </c>
      <c r="N890" s="2106"/>
      <c r="O890" s="2106"/>
      <c r="P890" s="1952"/>
      <c r="Q890" s="2025"/>
      <c r="R890" s="2025"/>
      <c r="S890" s="2025"/>
    </row>
    <row r="891" spans="1:19" s="474" customFormat="1" ht="15" hidden="1">
      <c r="A891" s="2099"/>
      <c r="B891" s="2100"/>
      <c r="C891" s="2100"/>
      <c r="D891" s="2100"/>
      <c r="E891" s="2099"/>
      <c r="F891" s="2099"/>
      <c r="G891" s="2101" t="s">
        <v>701</v>
      </c>
      <c r="H891" s="2099"/>
      <c r="I891" s="2099"/>
      <c r="J891" s="2099" t="s">
        <v>931</v>
      </c>
      <c r="K891" s="2103"/>
      <c r="L891" s="2104"/>
      <c r="M891" s="2105">
        <f ca="1">M888+M889+M890</f>
        <v>6485.1689999999999</v>
      </c>
      <c r="N891" s="2106"/>
      <c r="O891" s="2106"/>
      <c r="P891" s="1952"/>
      <c r="Q891" s="2025"/>
      <c r="R891" s="2025"/>
      <c r="S891" s="2025"/>
    </row>
    <row r="892" spans="1:19" s="474" customFormat="1" ht="15" hidden="1">
      <c r="A892" s="2099"/>
      <c r="B892" s="2100"/>
      <c r="C892" s="2100"/>
      <c r="D892" s="2100"/>
      <c r="E892" s="2099"/>
      <c r="F892" s="2099"/>
      <c r="G892" s="2101" t="s">
        <v>574</v>
      </c>
      <c r="H892" s="2099"/>
      <c r="I892" s="2099"/>
      <c r="J892" s="2099" t="str">
        <f ca="1">"(T+GT)*"&amp;'THCP xay dung'!F226*100&amp;"%"</f>
        <v>(T+GT)*6%</v>
      </c>
      <c r="K892" s="2103"/>
      <c r="L892" s="2104"/>
      <c r="M892" s="2105">
        <f ca="1">(M887+M891)*'THCP xay dung'!F226*100%</f>
        <v>4573.0901399999993</v>
      </c>
      <c r="N892" s="2106"/>
      <c r="O892" s="2106"/>
      <c r="P892" s="1952"/>
      <c r="Q892" s="2025"/>
      <c r="R892" s="2025"/>
      <c r="S892" s="2025"/>
    </row>
    <row r="893" spans="1:19" s="474" customFormat="1" ht="15" hidden="1">
      <c r="A893" s="2099"/>
      <c r="B893" s="2100"/>
      <c r="C893" s="2100"/>
      <c r="D893" s="2100"/>
      <c r="E893" s="2099"/>
      <c r="F893" s="2099"/>
      <c r="G893" s="2101" t="s">
        <v>113</v>
      </c>
      <c r="H893" s="2099"/>
      <c r="I893" s="2099"/>
      <c r="J893" s="2099" t="s">
        <v>705</v>
      </c>
      <c r="K893" s="2103"/>
      <c r="L893" s="2104"/>
      <c r="M893" s="2105">
        <f ca="1">M887+M891+M892</f>
        <v>80791.259139999995</v>
      </c>
      <c r="N893" s="2106"/>
      <c r="O893" s="2106"/>
      <c r="P893" s="1952"/>
      <c r="Q893" s="2025"/>
      <c r="R893" s="2025"/>
      <c r="S893" s="2025"/>
    </row>
    <row r="894" spans="1:19" s="474" customFormat="1" ht="15" hidden="1">
      <c r="A894" s="2099"/>
      <c r="B894" s="2100"/>
      <c r="C894" s="2100"/>
      <c r="D894" s="2100"/>
      <c r="E894" s="2099"/>
      <c r="F894" s="2099"/>
      <c r="G894" s="2101" t="s">
        <v>575</v>
      </c>
      <c r="H894" s="2099"/>
      <c r="I894" s="2099"/>
      <c r="J894" s="2099" t="str">
        <f>"G*"&amp;'THCP xay dung'!F228*100&amp;"%"</f>
        <v>G*10%</v>
      </c>
      <c r="K894" s="2103"/>
      <c r="L894" s="2104"/>
      <c r="M894" s="2105">
        <f ca="1">M893*'THCP xay dung'!F228*100%</f>
        <v>8079.1259140000002</v>
      </c>
      <c r="N894" s="2106"/>
      <c r="O894" s="2106"/>
      <c r="P894" s="1952"/>
      <c r="Q894" s="2025"/>
      <c r="R894" s="2025"/>
      <c r="S894" s="2025"/>
    </row>
    <row r="895" spans="1:19" s="474" customFormat="1" ht="15" hidden="1">
      <c r="A895" s="2099"/>
      <c r="B895" s="2100"/>
      <c r="C895" s="2100"/>
      <c r="D895" s="2100"/>
      <c r="E895" s="2099"/>
      <c r="F895" s="2099"/>
      <c r="G895" s="2101" t="s">
        <v>117</v>
      </c>
      <c r="H895" s="2099"/>
      <c r="I895" s="2099"/>
      <c r="J895" s="2099" t="s">
        <v>596</v>
      </c>
      <c r="K895" s="2103"/>
      <c r="L895" s="2104"/>
      <c r="M895" s="2105">
        <f ca="1">M893+M894</f>
        <v>88870.385053999998</v>
      </c>
      <c r="N895" s="2106"/>
      <c r="O895" s="2106"/>
      <c r="P895" s="1952"/>
      <c r="Q895" s="2025"/>
      <c r="R895" s="2025"/>
      <c r="S895" s="2025"/>
    </row>
    <row r="896" spans="1:19" s="474" customFormat="1" ht="15" hidden="1">
      <c r="A896" s="2099"/>
      <c r="B896" s="2100"/>
      <c r="C896" s="2100"/>
      <c r="D896" s="2100"/>
      <c r="E896" s="2099"/>
      <c r="F896" s="2099"/>
      <c r="G896" s="2101" t="s">
        <v>168</v>
      </c>
      <c r="H896" s="2099"/>
      <c r="I896" s="2099"/>
      <c r="J896" s="2099" t="str">
        <f ca="1">"GXD*"&amp;'THCP xay dung'!F230*100&amp;"%"</f>
        <v>GXD*6%</v>
      </c>
      <c r="K896" s="2103"/>
      <c r="L896" s="2104"/>
      <c r="M896" s="2105">
        <f ca="1">M895*'THCP xay dung'!F230*100%</f>
        <v>5332.2231032399995</v>
      </c>
      <c r="N896" s="2106"/>
      <c r="O896" s="2106"/>
      <c r="P896" s="1952"/>
      <c r="Q896" s="2025"/>
      <c r="R896" s="2025"/>
      <c r="S896" s="2025"/>
    </row>
    <row r="897" spans="1:19" s="474" customFormat="1" ht="15" hidden="1">
      <c r="A897" s="2122" t="s">
        <v>304</v>
      </c>
      <c r="B897" s="2123"/>
      <c r="C897" s="2123"/>
      <c r="D897" s="2123"/>
      <c r="E897" s="2122"/>
      <c r="F897" s="2122"/>
      <c r="G897" s="2109" t="s">
        <v>1837</v>
      </c>
      <c r="H897" s="2107"/>
      <c r="I897" s="2107"/>
      <c r="J897" s="2107" t="s">
        <v>1636</v>
      </c>
      <c r="K897" s="2110"/>
      <c r="L897" s="2111"/>
      <c r="M897" s="2112">
        <f ca="1">M895+M896</f>
        <v>94202.60815724</v>
      </c>
      <c r="N897" s="2113"/>
      <c r="O897" s="2113"/>
      <c r="P897" s="1952"/>
      <c r="Q897" s="2025"/>
      <c r="R897" s="2025"/>
      <c r="S897" s="2025"/>
    </row>
    <row r="898" spans="1:19" s="474" customFormat="1" ht="15">
      <c r="A898" s="2159">
        <v>106</v>
      </c>
      <c r="B898" s="2160">
        <f>'Du toan XD'!B316</f>
        <v>5</v>
      </c>
      <c r="C898" s="2160"/>
      <c r="D898" s="2160" t="s">
        <v>1574</v>
      </c>
      <c r="E898" s="2159" t="s">
        <v>1574</v>
      </c>
      <c r="F898" s="2159"/>
      <c r="G898" s="2165" t="str">
        <f>'Du toan XD'!F316</f>
        <v>Aptomat MCB-1P-10A-6kA</v>
      </c>
      <c r="H898" s="2159" t="str">
        <f>'Du toan XD'!G316</f>
        <v>cái</v>
      </c>
      <c r="I898" s="2159">
        <f>'Du toan XD'!H316</f>
        <v>1</v>
      </c>
      <c r="J898" s="2161"/>
      <c r="K898" s="2162"/>
      <c r="L898" s="2163"/>
      <c r="M898" s="2162"/>
      <c r="N898" s="2164"/>
      <c r="O898" s="2164"/>
      <c r="P898" s="1952">
        <f>M899</f>
        <v>27489</v>
      </c>
      <c r="Q898" s="2025"/>
      <c r="R898" s="2025">
        <f>M902</f>
        <v>25135</v>
      </c>
      <c r="S898" s="2025"/>
    </row>
    <row r="899" spans="1:19" s="474" customFormat="1" ht="15">
      <c r="A899" s="2099"/>
      <c r="B899" s="2100"/>
      <c r="C899" s="2100"/>
      <c r="D899" s="2100"/>
      <c r="E899" s="2099"/>
      <c r="F899" s="2099"/>
      <c r="G899" s="2116" t="s">
        <v>224</v>
      </c>
      <c r="H899" s="2116"/>
      <c r="I899" s="2116"/>
      <c r="J899" s="2120"/>
      <c r="K899" s="2118"/>
      <c r="L899" s="2119"/>
      <c r="M899" s="2118">
        <f>ROUND(SUM(M900:M901),Config!C103)</f>
        <v>27489</v>
      </c>
      <c r="N899" s="2106"/>
      <c r="O899" s="2106"/>
      <c r="P899" s="1952"/>
      <c r="Q899" s="2025"/>
      <c r="R899" s="2025"/>
      <c r="S899" s="2025"/>
    </row>
    <row r="900" spans="1:19" s="474" customFormat="1" ht="15">
      <c r="A900" s="2099"/>
      <c r="B900" s="2100"/>
      <c r="C900" s="2100"/>
      <c r="D900" s="2100"/>
      <c r="E900" s="2099"/>
      <c r="F900" s="2099" t="s">
        <v>2004</v>
      </c>
      <c r="G900" s="2115" t="s">
        <v>2005</v>
      </c>
      <c r="H900" s="2099" t="s">
        <v>1955</v>
      </c>
      <c r="I900" s="2099"/>
      <c r="J900" s="2102">
        <v>1</v>
      </c>
      <c r="K900" s="2171">
        <f>'TH vat tu XD'!G179</f>
        <v>26180</v>
      </c>
      <c r="L900" s="2104"/>
      <c r="M900" s="2103">
        <f>IF(L900=0,J900*K900,J900*K900*L900)</f>
        <v>26180</v>
      </c>
      <c r="N900" s="2106">
        <f>IF(L900=0,I898*J900,I898*J900*L900)</f>
        <v>1</v>
      </c>
      <c r="O900" s="2106">
        <f>J901%*N900</f>
        <v>0.05</v>
      </c>
      <c r="P900" s="1952"/>
      <c r="Q900" s="2025"/>
      <c r="R900" s="2025"/>
      <c r="S900" s="2025"/>
    </row>
    <row r="901" spans="1:19" s="474" customFormat="1" ht="15">
      <c r="A901" s="2099"/>
      <c r="B901" s="2100"/>
      <c r="C901" s="2100"/>
      <c r="D901" s="2100"/>
      <c r="E901" s="2099"/>
      <c r="F901" s="2099" t="s">
        <v>1882</v>
      </c>
      <c r="G901" s="2115" t="s">
        <v>226</v>
      </c>
      <c r="H901" s="2099" t="s">
        <v>1850</v>
      </c>
      <c r="I901" s="2099"/>
      <c r="J901" s="2102">
        <v>5</v>
      </c>
      <c r="K901" s="2103"/>
      <c r="L901" s="2104"/>
      <c r="M901" s="2103">
        <f>SUM(M900:M900)*J901%</f>
        <v>1309</v>
      </c>
      <c r="N901" s="2106"/>
      <c r="O901" s="2106"/>
      <c r="P901" s="1952"/>
      <c r="Q901" s="2025"/>
      <c r="R901" s="2025"/>
      <c r="S901" s="2025"/>
    </row>
    <row r="902" spans="1:19" s="474" customFormat="1" ht="15">
      <c r="A902" s="2099"/>
      <c r="B902" s="2100"/>
      <c r="C902" s="2100"/>
      <c r="D902" s="2100"/>
      <c r="E902" s="2099"/>
      <c r="F902" s="2099"/>
      <c r="G902" s="2116" t="s">
        <v>225</v>
      </c>
      <c r="H902" s="2116"/>
      <c r="I902" s="2116"/>
      <c r="J902" s="2120"/>
      <c r="K902" s="2118"/>
      <c r="L902" s="2119"/>
      <c r="M902" s="2118">
        <f>ROUND(SUM(M903:M903),Config!C103)</f>
        <v>25135</v>
      </c>
      <c r="N902" s="2106"/>
      <c r="O902" s="2106"/>
      <c r="P902" s="1952"/>
      <c r="Q902" s="2025"/>
      <c r="R902" s="2025"/>
      <c r="S902" s="2025"/>
    </row>
    <row r="903" spans="1:19" s="474" customFormat="1" ht="15">
      <c r="A903" s="2099"/>
      <c r="B903" s="2100"/>
      <c r="C903" s="2100"/>
      <c r="D903" s="2100"/>
      <c r="E903" s="2099"/>
      <c r="F903" s="2099" t="s">
        <v>1866</v>
      </c>
      <c r="G903" s="2115" t="s">
        <v>1867</v>
      </c>
      <c r="H903" s="2099" t="s">
        <v>1833</v>
      </c>
      <c r="I903" s="2099"/>
      <c r="J903" s="2102">
        <v>0.11</v>
      </c>
      <c r="K903" s="2171">
        <f>'TH vat tu XD'!G196</f>
        <v>228500</v>
      </c>
      <c r="L903" s="2104"/>
      <c r="M903" s="2103">
        <f>IF(L903=0,J903*K903,J903*K903*L903)</f>
        <v>25135</v>
      </c>
      <c r="N903" s="2106">
        <f>IF(L903=0,I898*J903,I898*J903*L903)</f>
        <v>0.11</v>
      </c>
      <c r="O903" s="2106"/>
      <c r="P903" s="1952"/>
      <c r="Q903" s="2025"/>
      <c r="R903" s="2025"/>
      <c r="S903" s="2025"/>
    </row>
    <row r="904" spans="1:19" s="474" customFormat="1" ht="15" hidden="1">
      <c r="A904" s="2099"/>
      <c r="B904" s="2100"/>
      <c r="C904" s="2100"/>
      <c r="D904" s="2100"/>
      <c r="E904" s="2099"/>
      <c r="F904" s="2099"/>
      <c r="G904" s="2101" t="s">
        <v>109</v>
      </c>
      <c r="H904" s="2099"/>
      <c r="I904" s="2099"/>
      <c r="J904" s="2099" t="s">
        <v>333</v>
      </c>
      <c r="K904" s="2103"/>
      <c r="L904" s="2104"/>
      <c r="M904" s="2105">
        <f>M899+M902+0</f>
        <v>52624</v>
      </c>
      <c r="N904" s="2106"/>
      <c r="O904" s="2106"/>
      <c r="P904" s="1952"/>
      <c r="Q904" s="2025"/>
      <c r="R904" s="2025"/>
      <c r="S904" s="2025"/>
    </row>
    <row r="905" spans="1:19" s="474" customFormat="1" ht="15" hidden="1">
      <c r="A905" s="2099"/>
      <c r="B905" s="2100"/>
      <c r="C905" s="2100"/>
      <c r="D905" s="2100"/>
      <c r="E905" s="2099"/>
      <c r="F905" s="2099"/>
      <c r="G905" s="2101" t="s">
        <v>378</v>
      </c>
      <c r="H905" s="2099"/>
      <c r="I905" s="2099"/>
      <c r="J905" s="2099" t="str">
        <f ca="1">"T*"&amp;'THCP xay dung'!F222*100&amp;"%"</f>
        <v>T*6,2%</v>
      </c>
      <c r="K905" s="2103"/>
      <c r="L905" s="2104"/>
      <c r="M905" s="2105">
        <f ca="1">M904*'THCP xay dung'!F222*100%</f>
        <v>3262.6880000000001</v>
      </c>
      <c r="N905" s="2106"/>
      <c r="O905" s="2106"/>
      <c r="P905" s="1952"/>
      <c r="Q905" s="2025"/>
      <c r="R905" s="2025"/>
      <c r="S905" s="2025"/>
    </row>
    <row r="906" spans="1:19" s="474" customFormat="1" ht="28.5" hidden="1">
      <c r="A906" s="2099"/>
      <c r="B906" s="2100"/>
      <c r="C906" s="2100"/>
      <c r="D906" s="2100"/>
      <c r="E906" s="2099"/>
      <c r="F906" s="2099"/>
      <c r="G906" s="2101" t="s">
        <v>702</v>
      </c>
      <c r="H906" s="2099"/>
      <c r="I906" s="2099"/>
      <c r="J906" s="2099" t="str">
        <f>IF('THCP xay dung'!G223&lt;&gt;1,"T*"&amp;'THCP xay dung'!F223*100&amp;"%"&amp;"*"&amp;'THCP xay dung'!G223,"T*"&amp;'THCP xay dung'!F223*100&amp;"%")</f>
        <v>T*1,1%</v>
      </c>
      <c r="K906" s="2103"/>
      <c r="L906" s="2104"/>
      <c r="M906" s="2105">
        <f>IF('THCP xay dung'!G223&lt;&gt;1,M904*'THCP xay dung'!F223*100%*'THCP xay dung'!G223,M904*'THCP xay dung'!F223*100%)</f>
        <v>578.86400000000003</v>
      </c>
      <c r="N906" s="2106"/>
      <c r="O906" s="2106"/>
      <c r="P906" s="1952"/>
      <c r="Q906" s="2025"/>
      <c r="R906" s="2025"/>
      <c r="S906" s="2025"/>
    </row>
    <row r="907" spans="1:19" s="474" customFormat="1" ht="42.75" hidden="1">
      <c r="A907" s="2099"/>
      <c r="B907" s="2100"/>
      <c r="C907" s="2100"/>
      <c r="D907" s="2100"/>
      <c r="E907" s="2099"/>
      <c r="F907" s="2099"/>
      <c r="G907" s="2101" t="s">
        <v>703</v>
      </c>
      <c r="H907" s="2099"/>
      <c r="I907" s="2099"/>
      <c r="J907" s="2099" t="str">
        <f ca="1">"T*"&amp;'THCP xay dung'!F224*100&amp;"%"</f>
        <v>T*2%</v>
      </c>
      <c r="K907" s="2103"/>
      <c r="L907" s="2104"/>
      <c r="M907" s="2105">
        <f ca="1">M904*'THCP xay dung'!F224*100%</f>
        <v>1052.48</v>
      </c>
      <c r="N907" s="2106"/>
      <c r="O907" s="2106"/>
      <c r="P907" s="1952"/>
      <c r="Q907" s="2025"/>
      <c r="R907" s="2025"/>
      <c r="S907" s="2025"/>
    </row>
    <row r="908" spans="1:19" s="474" customFormat="1" ht="15" hidden="1">
      <c r="A908" s="2099"/>
      <c r="B908" s="2100"/>
      <c r="C908" s="2100"/>
      <c r="D908" s="2100"/>
      <c r="E908" s="2099"/>
      <c r="F908" s="2099"/>
      <c r="G908" s="2101" t="s">
        <v>701</v>
      </c>
      <c r="H908" s="2099"/>
      <c r="I908" s="2099"/>
      <c r="J908" s="2099" t="s">
        <v>931</v>
      </c>
      <c r="K908" s="2103"/>
      <c r="L908" s="2104"/>
      <c r="M908" s="2105">
        <f ca="1">M905+M906+M907</f>
        <v>4894.0320000000002</v>
      </c>
      <c r="N908" s="2106"/>
      <c r="O908" s="2106"/>
      <c r="P908" s="1952"/>
      <c r="Q908" s="2025"/>
      <c r="R908" s="2025"/>
      <c r="S908" s="2025"/>
    </row>
    <row r="909" spans="1:19" s="474" customFormat="1" ht="15" hidden="1">
      <c r="A909" s="2099"/>
      <c r="B909" s="2100"/>
      <c r="C909" s="2100"/>
      <c r="D909" s="2100"/>
      <c r="E909" s="2099"/>
      <c r="F909" s="2099"/>
      <c r="G909" s="2101" t="s">
        <v>574</v>
      </c>
      <c r="H909" s="2099"/>
      <c r="I909" s="2099"/>
      <c r="J909" s="2099" t="str">
        <f ca="1">"(T+GT)*"&amp;'THCP xay dung'!F226*100&amp;"%"</f>
        <v>(T+GT)*6%</v>
      </c>
      <c r="K909" s="2103"/>
      <c r="L909" s="2104"/>
      <c r="M909" s="2105">
        <f ca="1">(M904+M908)*'THCP xay dung'!F226*100%</f>
        <v>3451.0819199999996</v>
      </c>
      <c r="N909" s="2106"/>
      <c r="O909" s="2106"/>
      <c r="P909" s="1952"/>
      <c r="Q909" s="2025"/>
      <c r="R909" s="2025"/>
      <c r="S909" s="2025"/>
    </row>
    <row r="910" spans="1:19" s="474" customFormat="1" ht="15" hidden="1">
      <c r="A910" s="2099"/>
      <c r="B910" s="2100"/>
      <c r="C910" s="2100"/>
      <c r="D910" s="2100"/>
      <c r="E910" s="2099"/>
      <c r="F910" s="2099"/>
      <c r="G910" s="2101" t="s">
        <v>113</v>
      </c>
      <c r="H910" s="2099"/>
      <c r="I910" s="2099"/>
      <c r="J910" s="2099" t="s">
        <v>705</v>
      </c>
      <c r="K910" s="2103"/>
      <c r="L910" s="2104"/>
      <c r="M910" s="2105">
        <f ca="1">M904+M908+M909</f>
        <v>60969.113919999996</v>
      </c>
      <c r="N910" s="2106"/>
      <c r="O910" s="2106"/>
      <c r="P910" s="1952"/>
      <c r="Q910" s="2025"/>
      <c r="R910" s="2025"/>
      <c r="S910" s="2025"/>
    </row>
    <row r="911" spans="1:19" s="474" customFormat="1" ht="15" hidden="1">
      <c r="A911" s="2099"/>
      <c r="B911" s="2100"/>
      <c r="C911" s="2100"/>
      <c r="D911" s="2100"/>
      <c r="E911" s="2099"/>
      <c r="F911" s="2099"/>
      <c r="G911" s="2101" t="s">
        <v>575</v>
      </c>
      <c r="H911" s="2099"/>
      <c r="I911" s="2099"/>
      <c r="J911" s="2099" t="str">
        <f>"G*"&amp;'THCP xay dung'!F228*100&amp;"%"</f>
        <v>G*10%</v>
      </c>
      <c r="K911" s="2103"/>
      <c r="L911" s="2104"/>
      <c r="M911" s="2105">
        <f ca="1">M910*'THCP xay dung'!F228*100%</f>
        <v>6096.911392</v>
      </c>
      <c r="N911" s="2106"/>
      <c r="O911" s="2106"/>
      <c r="P911" s="1952"/>
      <c r="Q911" s="2025"/>
      <c r="R911" s="2025"/>
      <c r="S911" s="2025"/>
    </row>
    <row r="912" spans="1:19" s="474" customFormat="1" ht="15" hidden="1">
      <c r="A912" s="2099"/>
      <c r="B912" s="2100"/>
      <c r="C912" s="2100"/>
      <c r="D912" s="2100"/>
      <c r="E912" s="2099"/>
      <c r="F912" s="2099"/>
      <c r="G912" s="2101" t="s">
        <v>117</v>
      </c>
      <c r="H912" s="2099"/>
      <c r="I912" s="2099"/>
      <c r="J912" s="2099" t="s">
        <v>596</v>
      </c>
      <c r="K912" s="2103"/>
      <c r="L912" s="2104"/>
      <c r="M912" s="2105">
        <f ca="1">M910+M911</f>
        <v>67066.025311999998</v>
      </c>
      <c r="N912" s="2106"/>
      <c r="O912" s="2106"/>
      <c r="P912" s="1952"/>
      <c r="Q912" s="2025"/>
      <c r="R912" s="2025"/>
      <c r="S912" s="2025"/>
    </row>
    <row r="913" spans="1:19" s="474" customFormat="1" ht="15" hidden="1">
      <c r="A913" s="2099"/>
      <c r="B913" s="2100"/>
      <c r="C913" s="2100"/>
      <c r="D913" s="2100"/>
      <c r="E913" s="2099"/>
      <c r="F913" s="2099"/>
      <c r="G913" s="2101" t="s">
        <v>168</v>
      </c>
      <c r="H913" s="2099"/>
      <c r="I913" s="2099"/>
      <c r="J913" s="2099" t="str">
        <f ca="1">"GXD*"&amp;'THCP xay dung'!F230*100&amp;"%"</f>
        <v>GXD*6%</v>
      </c>
      <c r="K913" s="2103"/>
      <c r="L913" s="2104"/>
      <c r="M913" s="2105">
        <f ca="1">M912*'THCP xay dung'!F230*100%</f>
        <v>4023.9615187199997</v>
      </c>
      <c r="N913" s="2106"/>
      <c r="O913" s="2106"/>
      <c r="P913" s="1952"/>
      <c r="Q913" s="2025"/>
      <c r="R913" s="2025"/>
      <c r="S913" s="2025"/>
    </row>
    <row r="914" spans="1:19" s="474" customFormat="1" ht="15" hidden="1">
      <c r="A914" s="2122" t="s">
        <v>304</v>
      </c>
      <c r="B914" s="2123"/>
      <c r="C914" s="2123"/>
      <c r="D914" s="2123"/>
      <c r="E914" s="2122"/>
      <c r="F914" s="2122"/>
      <c r="G914" s="2109" t="s">
        <v>1837</v>
      </c>
      <c r="H914" s="2107"/>
      <c r="I914" s="2107"/>
      <c r="J914" s="2107" t="s">
        <v>1636</v>
      </c>
      <c r="K914" s="2110"/>
      <c r="L914" s="2111"/>
      <c r="M914" s="2112">
        <f ca="1">M912+M913</f>
        <v>71089.986830719994</v>
      </c>
      <c r="N914" s="2113"/>
      <c r="O914" s="2113"/>
      <c r="P914" s="1952"/>
      <c r="Q914" s="2025"/>
      <c r="R914" s="2025"/>
      <c r="S914" s="2025"/>
    </row>
    <row r="915" spans="1:19" s="474" customFormat="1" ht="15">
      <c r="A915" s="2322">
        <v>119</v>
      </c>
      <c r="B915" s="2323">
        <f>'Du toan XD'!B317</f>
        <v>0</v>
      </c>
      <c r="C915" s="2323"/>
      <c r="D915" s="2323"/>
      <c r="E915" s="2322"/>
      <c r="F915" s="2322"/>
      <c r="G915" s="2324" t="str">
        <f>'Du toan XD'!F317</f>
        <v>Thiết bị ổ cắm, đèn, dây điện</v>
      </c>
      <c r="H915" s="2322"/>
      <c r="I915" s="2322"/>
      <c r="J915" s="2322"/>
      <c r="K915" s="2325"/>
      <c r="L915" s="2326"/>
      <c r="M915" s="2325"/>
      <c r="N915" s="2327"/>
      <c r="O915" s="2327"/>
      <c r="P915" s="1952"/>
      <c r="Q915" s="2025"/>
      <c r="R915" s="2025"/>
      <c r="S915" s="2025"/>
    </row>
    <row r="916" spans="1:19" s="474" customFormat="1" ht="15">
      <c r="A916" s="2159">
        <v>107</v>
      </c>
      <c r="B916" s="2160">
        <f>'Du toan XD'!B318</f>
        <v>6</v>
      </c>
      <c r="C916" s="2160"/>
      <c r="D916" s="2160" t="s">
        <v>1575</v>
      </c>
      <c r="E916" s="2159" t="s">
        <v>1575</v>
      </c>
      <c r="F916" s="2159"/>
      <c r="G916" s="2165" t="str">
        <f>'Du toan XD'!F318</f>
        <v>Đèn tuýp led 1,2m</v>
      </c>
      <c r="H916" s="2159" t="str">
        <f>'Du toan XD'!G318</f>
        <v>bộ</v>
      </c>
      <c r="I916" s="2159">
        <f>'Du toan XD'!H318</f>
        <v>9</v>
      </c>
      <c r="J916" s="2161"/>
      <c r="K916" s="2162"/>
      <c r="L916" s="2163"/>
      <c r="M916" s="2162"/>
      <c r="N916" s="2164"/>
      <c r="O916" s="2164"/>
      <c r="P916" s="1952">
        <f>M917</f>
        <v>86367</v>
      </c>
      <c r="Q916" s="2025"/>
      <c r="R916" s="2025">
        <f>M920</f>
        <v>34275</v>
      </c>
      <c r="S916" s="2025"/>
    </row>
    <row r="917" spans="1:19" s="474" customFormat="1" ht="15">
      <c r="A917" s="2099"/>
      <c r="B917" s="2100"/>
      <c r="C917" s="2100"/>
      <c r="D917" s="2100"/>
      <c r="E917" s="2099"/>
      <c r="F917" s="2099"/>
      <c r="G917" s="2116" t="s">
        <v>224</v>
      </c>
      <c r="H917" s="2116"/>
      <c r="I917" s="2116"/>
      <c r="J917" s="2120"/>
      <c r="K917" s="2118"/>
      <c r="L917" s="2119"/>
      <c r="M917" s="2118">
        <f>ROUND(SUM(M918:M919),Config!C103)</f>
        <v>86367</v>
      </c>
      <c r="N917" s="2106"/>
      <c r="O917" s="2106"/>
      <c r="P917" s="1952"/>
      <c r="Q917" s="2025"/>
      <c r="R917" s="2025"/>
      <c r="S917" s="2025"/>
    </row>
    <row r="918" spans="1:19" s="474" customFormat="1" ht="15">
      <c r="A918" s="2099"/>
      <c r="B918" s="2100"/>
      <c r="C918" s="2100"/>
      <c r="D918" s="2100"/>
      <c r="E918" s="2099"/>
      <c r="F918" s="2099" t="s">
        <v>2007</v>
      </c>
      <c r="G918" s="2115" t="s">
        <v>2008</v>
      </c>
      <c r="H918" s="2099" t="s">
        <v>2006</v>
      </c>
      <c r="I918" s="2099"/>
      <c r="J918" s="2102">
        <v>1</v>
      </c>
      <c r="K918" s="2171">
        <f>'TH vat tu XD'!G191</f>
        <v>85091</v>
      </c>
      <c r="L918" s="2104"/>
      <c r="M918" s="2103">
        <f>IF(L918=0,J918*K918,J918*K918*L918)</f>
        <v>85091</v>
      </c>
      <c r="N918" s="2106">
        <f>IF(L918=0,I916*J918,I916*J918*L918)</f>
        <v>9</v>
      </c>
      <c r="O918" s="2106">
        <f>J919%*N918</f>
        <v>0.13500000000000001</v>
      </c>
      <c r="P918" s="1952"/>
      <c r="Q918" s="2025"/>
      <c r="R918" s="2025"/>
      <c r="S918" s="2025"/>
    </row>
    <row r="919" spans="1:19" s="474" customFormat="1" ht="15">
      <c r="A919" s="2099"/>
      <c r="B919" s="2100"/>
      <c r="C919" s="2100"/>
      <c r="D919" s="2100"/>
      <c r="E919" s="2099"/>
      <c r="F919" s="2099" t="s">
        <v>1882</v>
      </c>
      <c r="G919" s="2115" t="s">
        <v>226</v>
      </c>
      <c r="H919" s="2099" t="s">
        <v>1850</v>
      </c>
      <c r="I919" s="2099"/>
      <c r="J919" s="2102">
        <v>1.5</v>
      </c>
      <c r="K919" s="2103"/>
      <c r="L919" s="2104"/>
      <c r="M919" s="2103">
        <f>SUM(M918:M918)*J919%</f>
        <v>1276.365</v>
      </c>
      <c r="N919" s="2106"/>
      <c r="O919" s="2106"/>
      <c r="P919" s="1952"/>
      <c r="Q919" s="2025"/>
      <c r="R919" s="2025"/>
      <c r="S919" s="2025"/>
    </row>
    <row r="920" spans="1:19" s="474" customFormat="1" ht="15">
      <c r="A920" s="2099"/>
      <c r="B920" s="2100"/>
      <c r="C920" s="2100"/>
      <c r="D920" s="2100"/>
      <c r="E920" s="2099"/>
      <c r="F920" s="2099"/>
      <c r="G920" s="2116" t="s">
        <v>225</v>
      </c>
      <c r="H920" s="2116"/>
      <c r="I920" s="2116"/>
      <c r="J920" s="2120"/>
      <c r="K920" s="2118"/>
      <c r="L920" s="2119"/>
      <c r="M920" s="2118">
        <f>ROUND(SUM(M921:M921),Config!C103)</f>
        <v>34275</v>
      </c>
      <c r="N920" s="2106"/>
      <c r="O920" s="2106"/>
      <c r="P920" s="1952"/>
      <c r="Q920" s="2025"/>
      <c r="R920" s="2025"/>
      <c r="S920" s="2025"/>
    </row>
    <row r="921" spans="1:19" s="474" customFormat="1" ht="15">
      <c r="A921" s="2099"/>
      <c r="B921" s="2100"/>
      <c r="C921" s="2100"/>
      <c r="D921" s="2100"/>
      <c r="E921" s="2099"/>
      <c r="F921" s="2099" t="s">
        <v>1866</v>
      </c>
      <c r="G921" s="2115" t="s">
        <v>1867</v>
      </c>
      <c r="H921" s="2099" t="s">
        <v>1833</v>
      </c>
      <c r="I921" s="2099"/>
      <c r="J921" s="2102">
        <v>0.15</v>
      </c>
      <c r="K921" s="2171">
        <f>'TH vat tu XD'!G196</f>
        <v>228500</v>
      </c>
      <c r="L921" s="2104"/>
      <c r="M921" s="2103">
        <f>IF(L921=0,J921*K921,J921*K921*L921)</f>
        <v>34275</v>
      </c>
      <c r="N921" s="2106">
        <f>IF(L921=0,I916*J921,I916*J921*L921)</f>
        <v>1.3499999999999999</v>
      </c>
      <c r="O921" s="2106"/>
      <c r="P921" s="1952"/>
      <c r="Q921" s="2025"/>
      <c r="R921" s="2025"/>
      <c r="S921" s="2025"/>
    </row>
    <row r="922" spans="1:19" s="474" customFormat="1" ht="15" hidden="1">
      <c r="A922" s="2099"/>
      <c r="B922" s="2100"/>
      <c r="C922" s="2100"/>
      <c r="D922" s="2100"/>
      <c r="E922" s="2099"/>
      <c r="F922" s="2099"/>
      <c r="G922" s="2101" t="s">
        <v>109</v>
      </c>
      <c r="H922" s="2099"/>
      <c r="I922" s="2099"/>
      <c r="J922" s="2099" t="s">
        <v>333</v>
      </c>
      <c r="K922" s="2103"/>
      <c r="L922" s="2104"/>
      <c r="M922" s="2105">
        <f>M917+M920+0</f>
        <v>120642</v>
      </c>
      <c r="N922" s="2106"/>
      <c r="O922" s="2106"/>
      <c r="P922" s="1952"/>
      <c r="Q922" s="2025"/>
      <c r="R922" s="2025"/>
      <c r="S922" s="2025"/>
    </row>
    <row r="923" spans="1:19" s="474" customFormat="1" ht="15" hidden="1">
      <c r="A923" s="2099"/>
      <c r="B923" s="2100"/>
      <c r="C923" s="2100"/>
      <c r="D923" s="2100"/>
      <c r="E923" s="2099"/>
      <c r="F923" s="2099"/>
      <c r="G923" s="2101" t="s">
        <v>378</v>
      </c>
      <c r="H923" s="2099"/>
      <c r="I923" s="2099"/>
      <c r="J923" s="2099" t="str">
        <f ca="1">"T*"&amp;'THCP xay dung'!F222*100&amp;"%"</f>
        <v>T*6,2%</v>
      </c>
      <c r="K923" s="2103"/>
      <c r="L923" s="2104"/>
      <c r="M923" s="2105">
        <f ca="1">M922*'THCP xay dung'!F222*100%</f>
        <v>7479.8040000000001</v>
      </c>
      <c r="N923" s="2106"/>
      <c r="O923" s="2106"/>
      <c r="P923" s="1952"/>
      <c r="Q923" s="2025"/>
      <c r="R923" s="2025"/>
      <c r="S923" s="2025"/>
    </row>
    <row r="924" spans="1:19" s="474" customFormat="1" ht="28.5" hidden="1">
      <c r="A924" s="2099"/>
      <c r="B924" s="2100"/>
      <c r="C924" s="2100"/>
      <c r="D924" s="2100"/>
      <c r="E924" s="2099"/>
      <c r="F924" s="2099"/>
      <c r="G924" s="2101" t="s">
        <v>702</v>
      </c>
      <c r="H924" s="2099"/>
      <c r="I924" s="2099"/>
      <c r="J924" s="2099" t="str">
        <f>IF('THCP xay dung'!G223&lt;&gt;1,"T*"&amp;'THCP xay dung'!F223*100&amp;"%"&amp;"*"&amp;'THCP xay dung'!G223,"T*"&amp;'THCP xay dung'!F223*100&amp;"%")</f>
        <v>T*1,1%</v>
      </c>
      <c r="K924" s="2103"/>
      <c r="L924" s="2104"/>
      <c r="M924" s="2105">
        <f>IF('THCP xay dung'!G223&lt;&gt;1,M922*'THCP xay dung'!F223*100%*'THCP xay dung'!G223,M922*'THCP xay dung'!F223*100%)</f>
        <v>1327.0620000000001</v>
      </c>
      <c r="N924" s="2106"/>
      <c r="O924" s="2106"/>
      <c r="P924" s="1952"/>
      <c r="Q924" s="2025"/>
      <c r="R924" s="2025"/>
      <c r="S924" s="2025"/>
    </row>
    <row r="925" spans="1:19" s="474" customFormat="1" ht="42.75" hidden="1">
      <c r="A925" s="2099"/>
      <c r="B925" s="2100"/>
      <c r="C925" s="2100"/>
      <c r="D925" s="2100"/>
      <c r="E925" s="2099"/>
      <c r="F925" s="2099"/>
      <c r="G925" s="2101" t="s">
        <v>703</v>
      </c>
      <c r="H925" s="2099"/>
      <c r="I925" s="2099"/>
      <c r="J925" s="2099" t="str">
        <f ca="1">"T*"&amp;'THCP xay dung'!F224*100&amp;"%"</f>
        <v>T*2%</v>
      </c>
      <c r="K925" s="2103"/>
      <c r="L925" s="2104"/>
      <c r="M925" s="2105">
        <f ca="1">M922*'THCP xay dung'!F224*100%</f>
        <v>2412.84</v>
      </c>
      <c r="N925" s="2106"/>
      <c r="O925" s="2106"/>
      <c r="P925" s="1952"/>
      <c r="Q925" s="2025"/>
      <c r="R925" s="2025"/>
      <c r="S925" s="2025"/>
    </row>
    <row r="926" spans="1:19" s="474" customFormat="1" ht="15" hidden="1">
      <c r="A926" s="2099"/>
      <c r="B926" s="2100"/>
      <c r="C926" s="2100"/>
      <c r="D926" s="2100"/>
      <c r="E926" s="2099"/>
      <c r="F926" s="2099"/>
      <c r="G926" s="2101" t="s">
        <v>701</v>
      </c>
      <c r="H926" s="2099"/>
      <c r="I926" s="2099"/>
      <c r="J926" s="2099" t="s">
        <v>931</v>
      </c>
      <c r="K926" s="2103"/>
      <c r="L926" s="2104"/>
      <c r="M926" s="2105">
        <f ca="1">M923+M924+M925</f>
        <v>11219.706</v>
      </c>
      <c r="N926" s="2106"/>
      <c r="O926" s="2106"/>
      <c r="P926" s="1952"/>
      <c r="Q926" s="2025"/>
      <c r="R926" s="2025"/>
      <c r="S926" s="2025"/>
    </row>
    <row r="927" spans="1:19" s="474" customFormat="1" ht="15" hidden="1">
      <c r="A927" s="2099"/>
      <c r="B927" s="2100"/>
      <c r="C927" s="2100"/>
      <c r="D927" s="2100"/>
      <c r="E927" s="2099"/>
      <c r="F927" s="2099"/>
      <c r="G927" s="2101" t="s">
        <v>574</v>
      </c>
      <c r="H927" s="2099"/>
      <c r="I927" s="2099"/>
      <c r="J927" s="2099" t="str">
        <f ca="1">"(T+GT)*"&amp;'THCP xay dung'!F226*100&amp;"%"</f>
        <v>(T+GT)*6%</v>
      </c>
      <c r="K927" s="2103"/>
      <c r="L927" s="2104"/>
      <c r="M927" s="2105">
        <f ca="1">(M922+M926)*'THCP xay dung'!F226*100%</f>
        <v>7911.7023600000002</v>
      </c>
      <c r="N927" s="2106"/>
      <c r="O927" s="2106"/>
      <c r="P927" s="1952"/>
      <c r="Q927" s="2025"/>
      <c r="R927" s="2025"/>
      <c r="S927" s="2025"/>
    </row>
    <row r="928" spans="1:19" s="474" customFormat="1" ht="15" hidden="1">
      <c r="A928" s="2099"/>
      <c r="B928" s="2100"/>
      <c r="C928" s="2100"/>
      <c r="D928" s="2100"/>
      <c r="E928" s="2099"/>
      <c r="F928" s="2099"/>
      <c r="G928" s="2101" t="s">
        <v>113</v>
      </c>
      <c r="H928" s="2099"/>
      <c r="I928" s="2099"/>
      <c r="J928" s="2099" t="s">
        <v>705</v>
      </c>
      <c r="K928" s="2103"/>
      <c r="L928" s="2104"/>
      <c r="M928" s="2105">
        <f ca="1">M922+M926+M927</f>
        <v>139773.40836</v>
      </c>
      <c r="N928" s="2106"/>
      <c r="O928" s="2106"/>
      <c r="P928" s="1952"/>
      <c r="Q928" s="2025"/>
      <c r="R928" s="2025"/>
      <c r="S928" s="2025"/>
    </row>
    <row r="929" spans="1:19" s="474" customFormat="1" ht="15" hidden="1">
      <c r="A929" s="2099"/>
      <c r="B929" s="2100"/>
      <c r="C929" s="2100"/>
      <c r="D929" s="2100"/>
      <c r="E929" s="2099"/>
      <c r="F929" s="2099"/>
      <c r="G929" s="2101" t="s">
        <v>575</v>
      </c>
      <c r="H929" s="2099"/>
      <c r="I929" s="2099"/>
      <c r="J929" s="2099" t="str">
        <f>"G*"&amp;'THCP xay dung'!F228*100&amp;"%"</f>
        <v>G*10%</v>
      </c>
      <c r="K929" s="2103"/>
      <c r="L929" s="2104"/>
      <c r="M929" s="2105">
        <f ca="1">M928*'THCP xay dung'!F228*100%</f>
        <v>13977.340836000001</v>
      </c>
      <c r="N929" s="2106"/>
      <c r="O929" s="2106"/>
      <c r="P929" s="1952"/>
      <c r="Q929" s="2025"/>
      <c r="R929" s="2025"/>
      <c r="S929" s="2025"/>
    </row>
    <row r="930" spans="1:19" s="474" customFormat="1" ht="15" hidden="1">
      <c r="A930" s="2099"/>
      <c r="B930" s="2100"/>
      <c r="C930" s="2100"/>
      <c r="D930" s="2100"/>
      <c r="E930" s="2099"/>
      <c r="F930" s="2099"/>
      <c r="G930" s="2101" t="s">
        <v>117</v>
      </c>
      <c r="H930" s="2099"/>
      <c r="I930" s="2099"/>
      <c r="J930" s="2099" t="s">
        <v>596</v>
      </c>
      <c r="K930" s="2103"/>
      <c r="L930" s="2104"/>
      <c r="M930" s="2105">
        <f ca="1">M928+M929</f>
        <v>153750.74919599999</v>
      </c>
      <c r="N930" s="2106"/>
      <c r="O930" s="2106"/>
      <c r="P930" s="1952"/>
      <c r="Q930" s="2025"/>
      <c r="R930" s="2025"/>
      <c r="S930" s="2025"/>
    </row>
    <row r="931" spans="1:19" s="474" customFormat="1" ht="15" hidden="1">
      <c r="A931" s="2099"/>
      <c r="B931" s="2100"/>
      <c r="C931" s="2100"/>
      <c r="D931" s="2100"/>
      <c r="E931" s="2099"/>
      <c r="F931" s="2099"/>
      <c r="G931" s="2101" t="s">
        <v>168</v>
      </c>
      <c r="H931" s="2099"/>
      <c r="I931" s="2099"/>
      <c r="J931" s="2099" t="str">
        <f ca="1">"GXD*"&amp;'THCP xay dung'!F230*100&amp;"%"</f>
        <v>GXD*6%</v>
      </c>
      <c r="K931" s="2103"/>
      <c r="L931" s="2104"/>
      <c r="M931" s="2105">
        <f ca="1">M930*'THCP xay dung'!F230*100%</f>
        <v>9225.0449517599991</v>
      </c>
      <c r="N931" s="2106"/>
      <c r="O931" s="2106"/>
      <c r="P931" s="1952"/>
      <c r="Q931" s="2025"/>
      <c r="R931" s="2025"/>
      <c r="S931" s="2025"/>
    </row>
    <row r="932" spans="1:19" s="474" customFormat="1" ht="15" hidden="1">
      <c r="A932" s="2122" t="s">
        <v>304</v>
      </c>
      <c r="B932" s="2123"/>
      <c r="C932" s="2123"/>
      <c r="D932" s="2123"/>
      <c r="E932" s="2122"/>
      <c r="F932" s="2122"/>
      <c r="G932" s="2109" t="s">
        <v>1837</v>
      </c>
      <c r="H932" s="2107"/>
      <c r="I932" s="2107"/>
      <c r="J932" s="2107" t="s">
        <v>1636</v>
      </c>
      <c r="K932" s="2110"/>
      <c r="L932" s="2111"/>
      <c r="M932" s="2112">
        <f ca="1">M930+M931</f>
        <v>162975.79414776</v>
      </c>
      <c r="N932" s="2113"/>
      <c r="O932" s="2113"/>
      <c r="P932" s="1952"/>
      <c r="Q932" s="2025"/>
      <c r="R932" s="2025"/>
      <c r="S932" s="2025"/>
    </row>
    <row r="933" spans="1:19" s="474" customFormat="1" ht="15">
      <c r="A933" s="2159">
        <v>108</v>
      </c>
      <c r="B933" s="2160">
        <f>'Du toan XD'!B319</f>
        <v>7</v>
      </c>
      <c r="C933" s="2160"/>
      <c r="D933" s="2160" t="s">
        <v>1576</v>
      </c>
      <c r="E933" s="2159" t="s">
        <v>1576</v>
      </c>
      <c r="F933" s="2159"/>
      <c r="G933" s="2165" t="str">
        <f>'Du toan XD'!F319</f>
        <v>Đèn led ốp trần 16W</v>
      </c>
      <c r="H933" s="2159" t="str">
        <f>'Du toan XD'!G319</f>
        <v>bộ</v>
      </c>
      <c r="I933" s="2159">
        <f>'Du toan XD'!H319</f>
        <v>4</v>
      </c>
      <c r="J933" s="2161"/>
      <c r="K933" s="2162"/>
      <c r="L933" s="2163"/>
      <c r="M933" s="2162"/>
      <c r="N933" s="2164"/>
      <c r="O933" s="2164"/>
      <c r="P933" s="1952">
        <f>M934</f>
        <v>131250</v>
      </c>
      <c r="Q933" s="2025"/>
      <c r="R933" s="2025">
        <f>M938</f>
        <v>27420</v>
      </c>
      <c r="S933" s="2025"/>
    </row>
    <row r="934" spans="1:19" s="474" customFormat="1" ht="15">
      <c r="A934" s="2099"/>
      <c r="B934" s="2100"/>
      <c r="C934" s="2100"/>
      <c r="D934" s="2100"/>
      <c r="E934" s="2099"/>
      <c r="F934" s="2099"/>
      <c r="G934" s="2116" t="s">
        <v>224</v>
      </c>
      <c r="H934" s="2116"/>
      <c r="I934" s="2116"/>
      <c r="J934" s="2120"/>
      <c r="K934" s="2118"/>
      <c r="L934" s="2119"/>
      <c r="M934" s="2118">
        <f>ROUND(SUM(M935:M937),Config!C103)</f>
        <v>131250</v>
      </c>
      <c r="N934" s="2106"/>
      <c r="O934" s="2106"/>
      <c r="P934" s="1952"/>
      <c r="Q934" s="2025"/>
      <c r="R934" s="2025"/>
      <c r="S934" s="2025"/>
    </row>
    <row r="935" spans="1:19" s="474" customFormat="1" ht="15">
      <c r="A935" s="2099"/>
      <c r="B935" s="2100"/>
      <c r="C935" s="2100"/>
      <c r="D935" s="2100"/>
      <c r="E935" s="2099"/>
      <c r="F935" s="2099" t="s">
        <v>2009</v>
      </c>
      <c r="G935" s="2115" t="s">
        <v>2010</v>
      </c>
      <c r="H935" s="2099" t="s">
        <v>2006</v>
      </c>
      <c r="I935" s="2099"/>
      <c r="J935" s="2102">
        <v>1</v>
      </c>
      <c r="K935" s="2171">
        <f>'TH vat tu XD'!G186</f>
        <v>120000</v>
      </c>
      <c r="L935" s="2104"/>
      <c r="M935" s="2103">
        <f>IF(L935=0,J935*K935,J935*K935*L935)</f>
        <v>120000</v>
      </c>
      <c r="N935" s="2106">
        <f>IF(L935=0,I933*J935,I933*J935*L935)</f>
        <v>4</v>
      </c>
      <c r="O935" s="2106">
        <f>J937%*N935</f>
        <v>0.2</v>
      </c>
      <c r="P935" s="1952"/>
      <c r="Q935" s="2025"/>
      <c r="R935" s="2025"/>
      <c r="S935" s="2025"/>
    </row>
    <row r="936" spans="1:19" s="474" customFormat="1" ht="15">
      <c r="A936" s="2099"/>
      <c r="B936" s="2100"/>
      <c r="C936" s="2100"/>
      <c r="D936" s="2100"/>
      <c r="E936" s="2099"/>
      <c r="F936" s="2099" t="s">
        <v>2011</v>
      </c>
      <c r="G936" s="2115" t="s">
        <v>2012</v>
      </c>
      <c r="H936" s="2099" t="s">
        <v>2006</v>
      </c>
      <c r="I936" s="2099"/>
      <c r="J936" s="2102">
        <v>1</v>
      </c>
      <c r="K936" s="2171">
        <f>'TH vat tu XD'!G182</f>
        <v>5000</v>
      </c>
      <c r="L936" s="2104"/>
      <c r="M936" s="2103">
        <f>IF(L936=0,J936*K936,J936*K936*L936)</f>
        <v>5000</v>
      </c>
      <c r="N936" s="2106">
        <f>IF(L936=0,I933*J936,I933*J936*L936)</f>
        <v>4</v>
      </c>
      <c r="O936" s="2106">
        <f>J937%*N936</f>
        <v>0.2</v>
      </c>
      <c r="P936" s="1952"/>
      <c r="Q936" s="2025"/>
      <c r="R936" s="2025"/>
      <c r="S936" s="2025"/>
    </row>
    <row r="937" spans="1:19" s="474" customFormat="1" ht="15">
      <c r="A937" s="2099"/>
      <c r="B937" s="2100"/>
      <c r="C937" s="2100"/>
      <c r="D937" s="2100"/>
      <c r="E937" s="2099"/>
      <c r="F937" s="2099" t="s">
        <v>1882</v>
      </c>
      <c r="G937" s="2115" t="s">
        <v>226</v>
      </c>
      <c r="H937" s="2099" t="s">
        <v>1850</v>
      </c>
      <c r="I937" s="2099"/>
      <c r="J937" s="2102">
        <v>5</v>
      </c>
      <c r="K937" s="2103"/>
      <c r="L937" s="2104"/>
      <c r="M937" s="2103">
        <f>SUM(M935:M936)*J937%</f>
        <v>6250</v>
      </c>
      <c r="N937" s="2106"/>
      <c r="O937" s="2106"/>
      <c r="P937" s="1952"/>
      <c r="Q937" s="2025"/>
      <c r="R937" s="2025"/>
      <c r="S937" s="2025"/>
    </row>
    <row r="938" spans="1:19" s="474" customFormat="1" ht="15">
      <c r="A938" s="2099"/>
      <c r="B938" s="2100"/>
      <c r="C938" s="2100"/>
      <c r="D938" s="2100"/>
      <c r="E938" s="2099"/>
      <c r="F938" s="2099"/>
      <c r="G938" s="2116" t="s">
        <v>225</v>
      </c>
      <c r="H938" s="2116"/>
      <c r="I938" s="2116"/>
      <c r="J938" s="2120"/>
      <c r="K938" s="2118"/>
      <c r="L938" s="2119"/>
      <c r="M938" s="2118">
        <f>ROUND(SUM(M939:M939),Config!C103)</f>
        <v>27420</v>
      </c>
      <c r="N938" s="2106"/>
      <c r="O938" s="2106"/>
      <c r="P938" s="1952"/>
      <c r="Q938" s="2025"/>
      <c r="R938" s="2025"/>
      <c r="S938" s="2025"/>
    </row>
    <row r="939" spans="1:19" s="474" customFormat="1" ht="15">
      <c r="A939" s="2099"/>
      <c r="B939" s="2100"/>
      <c r="C939" s="2100"/>
      <c r="D939" s="2100"/>
      <c r="E939" s="2099"/>
      <c r="F939" s="2099" t="s">
        <v>1866</v>
      </c>
      <c r="G939" s="2115" t="s">
        <v>1867</v>
      </c>
      <c r="H939" s="2099" t="s">
        <v>1833</v>
      </c>
      <c r="I939" s="2099"/>
      <c r="J939" s="2102">
        <v>0.12</v>
      </c>
      <c r="K939" s="2171">
        <f>'TH vat tu XD'!G196</f>
        <v>228500</v>
      </c>
      <c r="L939" s="2104"/>
      <c r="M939" s="2103">
        <f>IF(L939=0,J939*K939,J939*K939*L939)</f>
        <v>27420</v>
      </c>
      <c r="N939" s="2106">
        <f>IF(L939=0,I933*J939,I933*J939*L939)</f>
        <v>0.48</v>
      </c>
      <c r="O939" s="2106"/>
      <c r="P939" s="1952"/>
      <c r="Q939" s="2025"/>
      <c r="R939" s="2025"/>
      <c r="S939" s="2025"/>
    </row>
    <row r="940" spans="1:19" s="474" customFormat="1" ht="15" hidden="1">
      <c r="A940" s="2099"/>
      <c r="B940" s="2100"/>
      <c r="C940" s="2100"/>
      <c r="D940" s="2100"/>
      <c r="E940" s="2099"/>
      <c r="F940" s="2099"/>
      <c r="G940" s="2101" t="s">
        <v>109</v>
      </c>
      <c r="H940" s="2099"/>
      <c r="I940" s="2099"/>
      <c r="J940" s="2099" t="s">
        <v>333</v>
      </c>
      <c r="K940" s="2103"/>
      <c r="L940" s="2104"/>
      <c r="M940" s="2105">
        <f>M934+M938+0</f>
        <v>158670</v>
      </c>
      <c r="N940" s="2106"/>
      <c r="O940" s="2106"/>
      <c r="P940" s="1952"/>
      <c r="Q940" s="2025"/>
      <c r="R940" s="2025"/>
      <c r="S940" s="2025"/>
    </row>
    <row r="941" spans="1:19" s="474" customFormat="1" ht="15" hidden="1">
      <c r="A941" s="2099"/>
      <c r="B941" s="2100"/>
      <c r="C941" s="2100"/>
      <c r="D941" s="2100"/>
      <c r="E941" s="2099"/>
      <c r="F941" s="2099"/>
      <c r="G941" s="2101" t="s">
        <v>378</v>
      </c>
      <c r="H941" s="2099"/>
      <c r="I941" s="2099"/>
      <c r="J941" s="2099" t="str">
        <f ca="1">"T*"&amp;'THCP xay dung'!F222*100&amp;"%"</f>
        <v>T*6,2%</v>
      </c>
      <c r="K941" s="2103"/>
      <c r="L941" s="2104"/>
      <c r="M941" s="2105">
        <f ca="1">M940*'THCP xay dung'!F222*100%</f>
        <v>9837.5399999999991</v>
      </c>
      <c r="N941" s="2106"/>
      <c r="O941" s="2106"/>
      <c r="P941" s="1952"/>
      <c r="Q941" s="2025"/>
      <c r="R941" s="2025"/>
      <c r="S941" s="2025"/>
    </row>
    <row r="942" spans="1:19" s="474" customFormat="1" ht="28.5" hidden="1">
      <c r="A942" s="2099"/>
      <c r="B942" s="2100"/>
      <c r="C942" s="2100"/>
      <c r="D942" s="2100"/>
      <c r="E942" s="2099"/>
      <c r="F942" s="2099"/>
      <c r="G942" s="2101" t="s">
        <v>702</v>
      </c>
      <c r="H942" s="2099"/>
      <c r="I942" s="2099"/>
      <c r="J942" s="2099" t="str">
        <f>IF('THCP xay dung'!G223&lt;&gt;1,"T*"&amp;'THCP xay dung'!F223*100&amp;"%"&amp;"*"&amp;'THCP xay dung'!G223,"T*"&amp;'THCP xay dung'!F223*100&amp;"%")</f>
        <v>T*1,1%</v>
      </c>
      <c r="K942" s="2103"/>
      <c r="L942" s="2104"/>
      <c r="M942" s="2105">
        <f>IF('THCP xay dung'!G223&lt;&gt;1,M940*'THCP xay dung'!F223*100%*'THCP xay dung'!G223,M940*'THCP xay dung'!F223*100%)</f>
        <v>1745.3700000000001</v>
      </c>
      <c r="N942" s="2106"/>
      <c r="O942" s="2106"/>
      <c r="P942" s="1952"/>
      <c r="Q942" s="2025"/>
      <c r="R942" s="2025"/>
      <c r="S942" s="2025"/>
    </row>
    <row r="943" spans="1:19" s="474" customFormat="1" ht="42.75" hidden="1">
      <c r="A943" s="2099"/>
      <c r="B943" s="2100"/>
      <c r="C943" s="2100"/>
      <c r="D943" s="2100"/>
      <c r="E943" s="2099"/>
      <c r="F943" s="2099"/>
      <c r="G943" s="2101" t="s">
        <v>703</v>
      </c>
      <c r="H943" s="2099"/>
      <c r="I943" s="2099"/>
      <c r="J943" s="2099" t="str">
        <f ca="1">"T*"&amp;'THCP xay dung'!F224*100&amp;"%"</f>
        <v>T*2%</v>
      </c>
      <c r="K943" s="2103"/>
      <c r="L943" s="2104"/>
      <c r="M943" s="2105">
        <f ca="1">M940*'THCP xay dung'!F224*100%</f>
        <v>3173.4</v>
      </c>
      <c r="N943" s="2106"/>
      <c r="O943" s="2106"/>
      <c r="P943" s="1952"/>
      <c r="Q943" s="2025"/>
      <c r="R943" s="2025"/>
      <c r="S943" s="2025"/>
    </row>
    <row r="944" spans="1:19" s="474" customFormat="1" ht="15" hidden="1">
      <c r="A944" s="2099"/>
      <c r="B944" s="2100"/>
      <c r="C944" s="2100"/>
      <c r="D944" s="2100"/>
      <c r="E944" s="2099"/>
      <c r="F944" s="2099"/>
      <c r="G944" s="2101" t="s">
        <v>701</v>
      </c>
      <c r="H944" s="2099"/>
      <c r="I944" s="2099"/>
      <c r="J944" s="2099" t="s">
        <v>931</v>
      </c>
      <c r="K944" s="2103"/>
      <c r="L944" s="2104"/>
      <c r="M944" s="2105">
        <f ca="1">M941+M942+M943</f>
        <v>14756.31</v>
      </c>
      <c r="N944" s="2106"/>
      <c r="O944" s="2106"/>
      <c r="P944" s="1952"/>
      <c r="Q944" s="2025"/>
      <c r="R944" s="2025"/>
      <c r="S944" s="2025"/>
    </row>
    <row r="945" spans="1:19" s="474" customFormat="1" ht="15" hidden="1">
      <c r="A945" s="2099"/>
      <c r="B945" s="2100"/>
      <c r="C945" s="2100"/>
      <c r="D945" s="2100"/>
      <c r="E945" s="2099"/>
      <c r="F945" s="2099"/>
      <c r="G945" s="2101" t="s">
        <v>574</v>
      </c>
      <c r="H945" s="2099"/>
      <c r="I945" s="2099"/>
      <c r="J945" s="2099" t="str">
        <f ca="1">"(T+GT)*"&amp;'THCP xay dung'!F226*100&amp;"%"</f>
        <v>(T+GT)*6%</v>
      </c>
      <c r="K945" s="2103"/>
      <c r="L945" s="2104"/>
      <c r="M945" s="2105">
        <f ca="1">(M940+M944)*'THCP xay dung'!F226*100%</f>
        <v>10405.578599999999</v>
      </c>
      <c r="N945" s="2106"/>
      <c r="O945" s="2106"/>
      <c r="P945" s="1952"/>
      <c r="Q945" s="2025"/>
      <c r="R945" s="2025"/>
      <c r="S945" s="2025"/>
    </row>
    <row r="946" spans="1:19" s="474" customFormat="1" ht="15" hidden="1">
      <c r="A946" s="2099"/>
      <c r="B946" s="2100"/>
      <c r="C946" s="2100"/>
      <c r="D946" s="2100"/>
      <c r="E946" s="2099"/>
      <c r="F946" s="2099"/>
      <c r="G946" s="2101" t="s">
        <v>113</v>
      </c>
      <c r="H946" s="2099"/>
      <c r="I946" s="2099"/>
      <c r="J946" s="2099" t="s">
        <v>705</v>
      </c>
      <c r="K946" s="2103"/>
      <c r="L946" s="2104"/>
      <c r="M946" s="2105">
        <f ca="1">M940+M944+M945</f>
        <v>183831.88860000001</v>
      </c>
      <c r="N946" s="2106"/>
      <c r="O946" s="2106"/>
      <c r="P946" s="1952"/>
      <c r="Q946" s="2025"/>
      <c r="R946" s="2025"/>
      <c r="S946" s="2025"/>
    </row>
    <row r="947" spans="1:19" s="474" customFormat="1" ht="15" hidden="1">
      <c r="A947" s="2099"/>
      <c r="B947" s="2100"/>
      <c r="C947" s="2100"/>
      <c r="D947" s="2100"/>
      <c r="E947" s="2099"/>
      <c r="F947" s="2099"/>
      <c r="G947" s="2101" t="s">
        <v>575</v>
      </c>
      <c r="H947" s="2099"/>
      <c r="I947" s="2099"/>
      <c r="J947" s="2099" t="str">
        <f>"G*"&amp;'THCP xay dung'!F228*100&amp;"%"</f>
        <v>G*10%</v>
      </c>
      <c r="K947" s="2103"/>
      <c r="L947" s="2104"/>
      <c r="M947" s="2105">
        <f ca="1">M946*'THCP xay dung'!F228*100%</f>
        <v>18383.188860000002</v>
      </c>
      <c r="N947" s="2106"/>
      <c r="O947" s="2106"/>
      <c r="P947" s="1952"/>
      <c r="Q947" s="2025"/>
      <c r="R947" s="2025"/>
      <c r="S947" s="2025"/>
    </row>
    <row r="948" spans="1:19" s="474" customFormat="1" ht="15" hidden="1">
      <c r="A948" s="2099"/>
      <c r="B948" s="2100"/>
      <c r="C948" s="2100"/>
      <c r="D948" s="2100"/>
      <c r="E948" s="2099"/>
      <c r="F948" s="2099"/>
      <c r="G948" s="2101" t="s">
        <v>117</v>
      </c>
      <c r="H948" s="2099"/>
      <c r="I948" s="2099"/>
      <c r="J948" s="2099" t="s">
        <v>596</v>
      </c>
      <c r="K948" s="2103"/>
      <c r="L948" s="2104"/>
      <c r="M948" s="2105">
        <f ca="1">M946+M947</f>
        <v>202215.07746</v>
      </c>
      <c r="N948" s="2106"/>
      <c r="O948" s="2106"/>
      <c r="P948" s="1952"/>
      <c r="Q948" s="2025"/>
      <c r="R948" s="2025"/>
      <c r="S948" s="2025"/>
    </row>
    <row r="949" spans="1:19" s="474" customFormat="1" ht="15" hidden="1">
      <c r="A949" s="2099"/>
      <c r="B949" s="2100"/>
      <c r="C949" s="2100"/>
      <c r="D949" s="2100"/>
      <c r="E949" s="2099"/>
      <c r="F949" s="2099"/>
      <c r="G949" s="2101" t="s">
        <v>168</v>
      </c>
      <c r="H949" s="2099"/>
      <c r="I949" s="2099"/>
      <c r="J949" s="2099" t="str">
        <f ca="1">"GXD*"&amp;'THCP xay dung'!F230*100&amp;"%"</f>
        <v>GXD*6%</v>
      </c>
      <c r="K949" s="2103"/>
      <c r="L949" s="2104"/>
      <c r="M949" s="2105">
        <f ca="1">M948*'THCP xay dung'!F230*100%</f>
        <v>12132.9046476</v>
      </c>
      <c r="N949" s="2106"/>
      <c r="O949" s="2106"/>
      <c r="P949" s="1952"/>
      <c r="Q949" s="2025"/>
      <c r="R949" s="2025"/>
      <c r="S949" s="2025"/>
    </row>
    <row r="950" spans="1:19" s="474" customFormat="1" ht="15" hidden="1">
      <c r="A950" s="2122" t="s">
        <v>304</v>
      </c>
      <c r="B950" s="2123"/>
      <c r="C950" s="2123"/>
      <c r="D950" s="2123"/>
      <c r="E950" s="2122"/>
      <c r="F950" s="2122"/>
      <c r="G950" s="2109" t="s">
        <v>1837</v>
      </c>
      <c r="H950" s="2107"/>
      <c r="I950" s="2107"/>
      <c r="J950" s="2107" t="s">
        <v>1636</v>
      </c>
      <c r="K950" s="2110"/>
      <c r="L950" s="2111"/>
      <c r="M950" s="2112">
        <f ca="1">M948+M949</f>
        <v>214347.98210759999</v>
      </c>
      <c r="N950" s="2113"/>
      <c r="O950" s="2113"/>
      <c r="P950" s="1952"/>
      <c r="Q950" s="2025"/>
      <c r="R950" s="2025"/>
      <c r="S950" s="2025"/>
    </row>
    <row r="951" spans="1:19" s="474" customFormat="1" ht="30">
      <c r="A951" s="2159">
        <v>109</v>
      </c>
      <c r="B951" s="2160">
        <f>'Du toan XD'!B320</f>
        <v>8</v>
      </c>
      <c r="C951" s="2160"/>
      <c r="D951" s="2160" t="s">
        <v>1577</v>
      </c>
      <c r="E951" s="2159" t="s">
        <v>1577</v>
      </c>
      <c r="F951" s="2159"/>
      <c r="G951" s="2165" t="str">
        <f>'Du toan XD'!F320</f>
        <v>Công tắc một chiều 2 phím 250V/10A loại âm tường</v>
      </c>
      <c r="H951" s="2159" t="str">
        <f>'Du toan XD'!G320</f>
        <v>cái</v>
      </c>
      <c r="I951" s="2159">
        <f>'Du toan XD'!H320</f>
        <v>1</v>
      </c>
      <c r="J951" s="2161"/>
      <c r="K951" s="2162"/>
      <c r="L951" s="2163"/>
      <c r="M951" s="2162"/>
      <c r="N951" s="2164"/>
      <c r="O951" s="2164"/>
      <c r="P951" s="1952">
        <f>M952</f>
        <v>35678</v>
      </c>
      <c r="Q951" s="2025"/>
      <c r="R951" s="2025">
        <f>M955</f>
        <v>20108</v>
      </c>
      <c r="S951" s="2025"/>
    </row>
    <row r="952" spans="1:19" s="474" customFormat="1" ht="15">
      <c r="A952" s="2099"/>
      <c r="B952" s="2100"/>
      <c r="C952" s="2100"/>
      <c r="D952" s="2100"/>
      <c r="E952" s="2099"/>
      <c r="F952" s="2099"/>
      <c r="G952" s="2116" t="s">
        <v>224</v>
      </c>
      <c r="H952" s="2116"/>
      <c r="I952" s="2116"/>
      <c r="J952" s="2120"/>
      <c r="K952" s="2118"/>
      <c r="L952" s="2119"/>
      <c r="M952" s="2118">
        <f>ROUND(SUM(M953:M954),Config!C103)</f>
        <v>35678</v>
      </c>
      <c r="N952" s="2106"/>
      <c r="O952" s="2106"/>
      <c r="P952" s="1952"/>
      <c r="Q952" s="2025"/>
      <c r="R952" s="2025"/>
      <c r="S952" s="2025"/>
    </row>
    <row r="953" spans="1:19" s="474" customFormat="1" ht="15">
      <c r="A953" s="2099"/>
      <c r="B953" s="2100"/>
      <c r="C953" s="2100"/>
      <c r="D953" s="2100"/>
      <c r="E953" s="2099"/>
      <c r="F953" s="2099" t="s">
        <v>2013</v>
      </c>
      <c r="G953" s="2115" t="s">
        <v>2014</v>
      </c>
      <c r="H953" s="2099" t="s">
        <v>1955</v>
      </c>
      <c r="I953" s="2099"/>
      <c r="J953" s="2102">
        <v>1</v>
      </c>
      <c r="K953" s="2171">
        <f>'TH vat tu XD'!G183</f>
        <v>35500</v>
      </c>
      <c r="L953" s="2104"/>
      <c r="M953" s="2103">
        <f>IF(L953=0,J953*K953,J953*K953*L953)</f>
        <v>35500</v>
      </c>
      <c r="N953" s="2106">
        <f>IF(L953=0,I951*J953,I951*J953*L953)</f>
        <v>1</v>
      </c>
      <c r="O953" s="2106">
        <f>J954%*N953</f>
        <v>5.0000000000000001E-3</v>
      </c>
      <c r="P953" s="1952"/>
      <c r="Q953" s="2025"/>
      <c r="R953" s="2025"/>
      <c r="S953" s="2025"/>
    </row>
    <row r="954" spans="1:19" s="474" customFormat="1" ht="15">
      <c r="A954" s="2099"/>
      <c r="B954" s="2100"/>
      <c r="C954" s="2100"/>
      <c r="D954" s="2100"/>
      <c r="E954" s="2099"/>
      <c r="F954" s="2099" t="s">
        <v>1882</v>
      </c>
      <c r="G954" s="2115" t="s">
        <v>226</v>
      </c>
      <c r="H954" s="2099" t="s">
        <v>1850</v>
      </c>
      <c r="I954" s="2099"/>
      <c r="J954" s="2102">
        <v>0.5</v>
      </c>
      <c r="K954" s="2103"/>
      <c r="L954" s="2104"/>
      <c r="M954" s="2103">
        <f>SUM(M953:M953)*J954%</f>
        <v>177.5</v>
      </c>
      <c r="N954" s="2106"/>
      <c r="O954" s="2106"/>
      <c r="P954" s="1952"/>
      <c r="Q954" s="2025"/>
      <c r="R954" s="2025"/>
      <c r="S954" s="2025"/>
    </row>
    <row r="955" spans="1:19" s="474" customFormat="1" ht="15">
      <c r="A955" s="2099"/>
      <c r="B955" s="2100"/>
      <c r="C955" s="2100"/>
      <c r="D955" s="2100"/>
      <c r="E955" s="2099"/>
      <c r="F955" s="2099"/>
      <c r="G955" s="2116" t="s">
        <v>225</v>
      </c>
      <c r="H955" s="2116"/>
      <c r="I955" s="2116"/>
      <c r="J955" s="2120"/>
      <c r="K955" s="2118"/>
      <c r="L955" s="2119"/>
      <c r="M955" s="2118">
        <f>ROUND(SUM(M956:M956),Config!C103)</f>
        <v>20108</v>
      </c>
      <c r="N955" s="2106"/>
      <c r="O955" s="2106"/>
      <c r="P955" s="1952"/>
      <c r="Q955" s="2025"/>
      <c r="R955" s="2025"/>
      <c r="S955" s="2025"/>
    </row>
    <row r="956" spans="1:19" s="474" customFormat="1" ht="15">
      <c r="A956" s="2099"/>
      <c r="B956" s="2100"/>
      <c r="C956" s="2100"/>
      <c r="D956" s="2100"/>
      <c r="E956" s="2099"/>
      <c r="F956" s="2099" t="s">
        <v>1866</v>
      </c>
      <c r="G956" s="2115" t="s">
        <v>1867</v>
      </c>
      <c r="H956" s="2099" t="s">
        <v>1833</v>
      </c>
      <c r="I956" s="2099"/>
      <c r="J956" s="2102">
        <v>8.7999999999999995E-2</v>
      </c>
      <c r="K956" s="2171">
        <f>'TH vat tu XD'!G196</f>
        <v>228500</v>
      </c>
      <c r="L956" s="2104"/>
      <c r="M956" s="2103">
        <f>IF(L956=0,J956*K956,J956*K956*L956)</f>
        <v>20108</v>
      </c>
      <c r="N956" s="2106">
        <f>IF(L956=0,I951*J956,I951*J956*L956)</f>
        <v>8.7999999999999995E-2</v>
      </c>
      <c r="O956" s="2106"/>
      <c r="P956" s="1952"/>
      <c r="Q956" s="2025"/>
      <c r="R956" s="2025"/>
      <c r="S956" s="2025"/>
    </row>
    <row r="957" spans="1:19" s="474" customFormat="1" ht="15" hidden="1">
      <c r="A957" s="2099"/>
      <c r="B957" s="2100"/>
      <c r="C957" s="2100"/>
      <c r="D957" s="2100"/>
      <c r="E957" s="2099"/>
      <c r="F957" s="2099"/>
      <c r="G957" s="2101" t="s">
        <v>109</v>
      </c>
      <c r="H957" s="2099"/>
      <c r="I957" s="2099"/>
      <c r="J957" s="2099" t="s">
        <v>333</v>
      </c>
      <c r="K957" s="2103"/>
      <c r="L957" s="2104"/>
      <c r="M957" s="2105">
        <f>M952+M955+0</f>
        <v>55786</v>
      </c>
      <c r="N957" s="2106"/>
      <c r="O957" s="2106"/>
      <c r="P957" s="1952"/>
      <c r="Q957" s="2025"/>
      <c r="R957" s="2025"/>
      <c r="S957" s="2025"/>
    </row>
    <row r="958" spans="1:19" s="474" customFormat="1" ht="15" hidden="1">
      <c r="A958" s="2099"/>
      <c r="B958" s="2100"/>
      <c r="C958" s="2100"/>
      <c r="D958" s="2100"/>
      <c r="E958" s="2099"/>
      <c r="F958" s="2099"/>
      <c r="G958" s="2101" t="s">
        <v>378</v>
      </c>
      <c r="H958" s="2099"/>
      <c r="I958" s="2099"/>
      <c r="J958" s="2099" t="str">
        <f ca="1">"T*"&amp;'THCP xay dung'!F222*100&amp;"%"</f>
        <v>T*6,2%</v>
      </c>
      <c r="K958" s="2103"/>
      <c r="L958" s="2104"/>
      <c r="M958" s="2105">
        <f ca="1">M957*'THCP xay dung'!F222*100%</f>
        <v>3458.732</v>
      </c>
      <c r="N958" s="2106"/>
      <c r="O958" s="2106"/>
      <c r="P958" s="1952"/>
      <c r="Q958" s="2025"/>
      <c r="R958" s="2025"/>
      <c r="S958" s="2025"/>
    </row>
    <row r="959" spans="1:19" s="474" customFormat="1" ht="28.5" hidden="1">
      <c r="A959" s="2099"/>
      <c r="B959" s="2100"/>
      <c r="C959" s="2100"/>
      <c r="D959" s="2100"/>
      <c r="E959" s="2099"/>
      <c r="F959" s="2099"/>
      <c r="G959" s="2101" t="s">
        <v>702</v>
      </c>
      <c r="H959" s="2099"/>
      <c r="I959" s="2099"/>
      <c r="J959" s="2099" t="str">
        <f>IF('THCP xay dung'!G223&lt;&gt;1,"T*"&amp;'THCP xay dung'!F223*100&amp;"%"&amp;"*"&amp;'THCP xay dung'!G223,"T*"&amp;'THCP xay dung'!F223*100&amp;"%")</f>
        <v>T*1,1%</v>
      </c>
      <c r="K959" s="2103"/>
      <c r="L959" s="2104"/>
      <c r="M959" s="2105">
        <f>IF('THCP xay dung'!G223&lt;&gt;1,M957*'THCP xay dung'!F223*100%*'THCP xay dung'!G223,M957*'THCP xay dung'!F223*100%)</f>
        <v>613.64600000000007</v>
      </c>
      <c r="N959" s="2106"/>
      <c r="O959" s="2106"/>
      <c r="P959" s="1952"/>
      <c r="Q959" s="2025"/>
      <c r="R959" s="2025"/>
      <c r="S959" s="2025"/>
    </row>
    <row r="960" spans="1:19" s="474" customFormat="1" ht="42.75" hidden="1">
      <c r="A960" s="2099"/>
      <c r="B960" s="2100"/>
      <c r="C960" s="2100"/>
      <c r="D960" s="2100"/>
      <c r="E960" s="2099"/>
      <c r="F960" s="2099"/>
      <c r="G960" s="2101" t="s">
        <v>703</v>
      </c>
      <c r="H960" s="2099"/>
      <c r="I960" s="2099"/>
      <c r="J960" s="2099" t="str">
        <f ca="1">"T*"&amp;'THCP xay dung'!F224*100&amp;"%"</f>
        <v>T*2%</v>
      </c>
      <c r="K960" s="2103"/>
      <c r="L960" s="2104"/>
      <c r="M960" s="2105">
        <f ca="1">M957*'THCP xay dung'!F224*100%</f>
        <v>1115.72</v>
      </c>
      <c r="N960" s="2106"/>
      <c r="O960" s="2106"/>
      <c r="P960" s="1952"/>
      <c r="Q960" s="2025"/>
      <c r="R960" s="2025"/>
      <c r="S960" s="2025"/>
    </row>
    <row r="961" spans="1:19" s="474" customFormat="1" ht="15" hidden="1">
      <c r="A961" s="2099"/>
      <c r="B961" s="2100"/>
      <c r="C961" s="2100"/>
      <c r="D961" s="2100"/>
      <c r="E961" s="2099"/>
      <c r="F961" s="2099"/>
      <c r="G961" s="2101" t="s">
        <v>701</v>
      </c>
      <c r="H961" s="2099"/>
      <c r="I961" s="2099"/>
      <c r="J961" s="2099" t="s">
        <v>931</v>
      </c>
      <c r="K961" s="2103"/>
      <c r="L961" s="2104"/>
      <c r="M961" s="2105">
        <f ca="1">M958+M959+M960</f>
        <v>5188.098</v>
      </c>
      <c r="N961" s="2106"/>
      <c r="O961" s="2106"/>
      <c r="P961" s="1952"/>
      <c r="Q961" s="2025"/>
      <c r="R961" s="2025"/>
      <c r="S961" s="2025"/>
    </row>
    <row r="962" spans="1:19" s="474" customFormat="1" ht="15" hidden="1">
      <c r="A962" s="2099"/>
      <c r="B962" s="2100"/>
      <c r="C962" s="2100"/>
      <c r="D962" s="2100"/>
      <c r="E962" s="2099"/>
      <c r="F962" s="2099"/>
      <c r="G962" s="2101" t="s">
        <v>574</v>
      </c>
      <c r="H962" s="2099"/>
      <c r="I962" s="2099"/>
      <c r="J962" s="2099" t="str">
        <f ca="1">"(T+GT)*"&amp;'THCP xay dung'!F226*100&amp;"%"</f>
        <v>(T+GT)*6%</v>
      </c>
      <c r="K962" s="2103"/>
      <c r="L962" s="2104"/>
      <c r="M962" s="2105">
        <f ca="1">(M957+M961)*'THCP xay dung'!F226*100%</f>
        <v>3658.4458799999998</v>
      </c>
      <c r="N962" s="2106"/>
      <c r="O962" s="2106"/>
      <c r="P962" s="1952"/>
      <c r="Q962" s="2025"/>
      <c r="R962" s="2025"/>
      <c r="S962" s="2025"/>
    </row>
    <row r="963" spans="1:19" s="474" customFormat="1" ht="15" hidden="1">
      <c r="A963" s="2099"/>
      <c r="B963" s="2100"/>
      <c r="C963" s="2100"/>
      <c r="D963" s="2100"/>
      <c r="E963" s="2099"/>
      <c r="F963" s="2099"/>
      <c r="G963" s="2101" t="s">
        <v>113</v>
      </c>
      <c r="H963" s="2099"/>
      <c r="I963" s="2099"/>
      <c r="J963" s="2099" t="s">
        <v>705</v>
      </c>
      <c r="K963" s="2103"/>
      <c r="L963" s="2104"/>
      <c r="M963" s="2105">
        <f ca="1">M957+M961+M962</f>
        <v>64632.543879999997</v>
      </c>
      <c r="N963" s="2106"/>
      <c r="O963" s="2106"/>
      <c r="P963" s="1952"/>
      <c r="Q963" s="2025"/>
      <c r="R963" s="2025"/>
      <c r="S963" s="2025"/>
    </row>
    <row r="964" spans="1:19" s="474" customFormat="1" ht="15" hidden="1">
      <c r="A964" s="2099"/>
      <c r="B964" s="2100"/>
      <c r="C964" s="2100"/>
      <c r="D964" s="2100"/>
      <c r="E964" s="2099"/>
      <c r="F964" s="2099"/>
      <c r="G964" s="2101" t="s">
        <v>575</v>
      </c>
      <c r="H964" s="2099"/>
      <c r="I964" s="2099"/>
      <c r="J964" s="2099" t="str">
        <f>"G*"&amp;'THCP xay dung'!F228*100&amp;"%"</f>
        <v>G*10%</v>
      </c>
      <c r="K964" s="2103"/>
      <c r="L964" s="2104"/>
      <c r="M964" s="2105">
        <f ca="1">M963*'THCP xay dung'!F228*100%</f>
        <v>6463.2543880000003</v>
      </c>
      <c r="N964" s="2106"/>
      <c r="O964" s="2106"/>
      <c r="P964" s="1952"/>
      <c r="Q964" s="2025"/>
      <c r="R964" s="2025"/>
      <c r="S964" s="2025"/>
    </row>
    <row r="965" spans="1:19" s="474" customFormat="1" ht="15" hidden="1">
      <c r="A965" s="2099"/>
      <c r="B965" s="2100"/>
      <c r="C965" s="2100"/>
      <c r="D965" s="2100"/>
      <c r="E965" s="2099"/>
      <c r="F965" s="2099"/>
      <c r="G965" s="2101" t="s">
        <v>117</v>
      </c>
      <c r="H965" s="2099"/>
      <c r="I965" s="2099"/>
      <c r="J965" s="2099" t="s">
        <v>596</v>
      </c>
      <c r="K965" s="2103"/>
      <c r="L965" s="2104"/>
      <c r="M965" s="2105">
        <f ca="1">M963+M964</f>
        <v>71095.798267999999</v>
      </c>
      <c r="N965" s="2106"/>
      <c r="O965" s="2106"/>
      <c r="P965" s="1952"/>
      <c r="Q965" s="2025"/>
      <c r="R965" s="2025"/>
      <c r="S965" s="2025"/>
    </row>
    <row r="966" spans="1:19" s="474" customFormat="1" ht="15" hidden="1">
      <c r="A966" s="2099"/>
      <c r="B966" s="2100"/>
      <c r="C966" s="2100"/>
      <c r="D966" s="2100"/>
      <c r="E966" s="2099"/>
      <c r="F966" s="2099"/>
      <c r="G966" s="2101" t="s">
        <v>168</v>
      </c>
      <c r="H966" s="2099"/>
      <c r="I966" s="2099"/>
      <c r="J966" s="2099" t="str">
        <f ca="1">"GXD*"&amp;'THCP xay dung'!F230*100&amp;"%"</f>
        <v>GXD*6%</v>
      </c>
      <c r="K966" s="2103"/>
      <c r="L966" s="2104"/>
      <c r="M966" s="2105">
        <f ca="1">M965*'THCP xay dung'!F230*100%</f>
        <v>4265.7478960799999</v>
      </c>
      <c r="N966" s="2106"/>
      <c r="O966" s="2106"/>
      <c r="P966" s="1952"/>
      <c r="Q966" s="2025"/>
      <c r="R966" s="2025"/>
      <c r="S966" s="2025"/>
    </row>
    <row r="967" spans="1:19" s="474" customFormat="1" ht="15" hidden="1">
      <c r="A967" s="2122" t="s">
        <v>304</v>
      </c>
      <c r="B967" s="2123"/>
      <c r="C967" s="2123"/>
      <c r="D967" s="2123"/>
      <c r="E967" s="2122"/>
      <c r="F967" s="2122"/>
      <c r="G967" s="2109" t="s">
        <v>1837</v>
      </c>
      <c r="H967" s="2107"/>
      <c r="I967" s="2107"/>
      <c r="J967" s="2107" t="s">
        <v>1636</v>
      </c>
      <c r="K967" s="2110"/>
      <c r="L967" s="2111"/>
      <c r="M967" s="2112">
        <f ca="1">M965+M966</f>
        <v>75361.546164080006</v>
      </c>
      <c r="N967" s="2113"/>
      <c r="O967" s="2113"/>
      <c r="P967" s="1952"/>
      <c r="Q967" s="2025"/>
      <c r="R967" s="2025"/>
      <c r="S967" s="2025"/>
    </row>
    <row r="968" spans="1:19" s="474" customFormat="1" ht="30">
      <c r="A968" s="2159">
        <v>110</v>
      </c>
      <c r="B968" s="2160">
        <f>'Du toan XD'!B321</f>
        <v>9</v>
      </c>
      <c r="C968" s="2160"/>
      <c r="D968" s="2160" t="s">
        <v>1578</v>
      </c>
      <c r="E968" s="2159" t="s">
        <v>1578</v>
      </c>
      <c r="F968" s="2159"/>
      <c r="G968" s="2165" t="str">
        <f>'Du toan XD'!F321</f>
        <v>Công tắc một chiều 3 phím 250V/10A loại âm tường</v>
      </c>
      <c r="H968" s="2159" t="str">
        <f>'Du toan XD'!G321</f>
        <v>cái</v>
      </c>
      <c r="I968" s="2159">
        <f>'Du toan XD'!H321</f>
        <v>1</v>
      </c>
      <c r="J968" s="2161"/>
      <c r="K968" s="2162"/>
      <c r="L968" s="2163"/>
      <c r="M968" s="2162"/>
      <c r="N968" s="2164"/>
      <c r="O968" s="2164"/>
      <c r="P968" s="1952">
        <f>M969</f>
        <v>45225</v>
      </c>
      <c r="Q968" s="2025"/>
      <c r="R968" s="2025">
        <f>M972</f>
        <v>21936</v>
      </c>
      <c r="S968" s="2025"/>
    </row>
    <row r="969" spans="1:19" s="474" customFormat="1" ht="15">
      <c r="A969" s="2099"/>
      <c r="B969" s="2100"/>
      <c r="C969" s="2100"/>
      <c r="D969" s="2100"/>
      <c r="E969" s="2099"/>
      <c r="F969" s="2099"/>
      <c r="G969" s="2116" t="s">
        <v>224</v>
      </c>
      <c r="H969" s="2116"/>
      <c r="I969" s="2116"/>
      <c r="J969" s="2120"/>
      <c r="K969" s="2118"/>
      <c r="L969" s="2119"/>
      <c r="M969" s="2118">
        <f>ROUND(SUM(M970:M971),Config!C103)</f>
        <v>45225</v>
      </c>
      <c r="N969" s="2106"/>
      <c r="O969" s="2106"/>
      <c r="P969" s="1952"/>
      <c r="Q969" s="2025"/>
      <c r="R969" s="2025"/>
      <c r="S969" s="2025"/>
    </row>
    <row r="970" spans="1:19" s="474" customFormat="1" ht="15">
      <c r="A970" s="2099"/>
      <c r="B970" s="2100"/>
      <c r="C970" s="2100"/>
      <c r="D970" s="2100"/>
      <c r="E970" s="2099"/>
      <c r="F970" s="2099" t="s">
        <v>2015</v>
      </c>
      <c r="G970" s="2115" t="s">
        <v>2016</v>
      </c>
      <c r="H970" s="2099" t="s">
        <v>1955</v>
      </c>
      <c r="I970" s="2099"/>
      <c r="J970" s="2102">
        <v>1</v>
      </c>
      <c r="K970" s="2171">
        <f>'TH vat tu XD'!G184</f>
        <v>45000</v>
      </c>
      <c r="L970" s="2104"/>
      <c r="M970" s="2103">
        <f>IF(L970=0,J970*K970,J970*K970*L970)</f>
        <v>45000</v>
      </c>
      <c r="N970" s="2106">
        <f>IF(L970=0,I968*J970,I968*J970*L970)</f>
        <v>1</v>
      </c>
      <c r="O970" s="2106">
        <f>J971%*N970</f>
        <v>5.0000000000000001E-3</v>
      </c>
      <c r="P970" s="1952"/>
      <c r="Q970" s="2025"/>
      <c r="R970" s="2025"/>
      <c r="S970" s="2025"/>
    </row>
    <row r="971" spans="1:19" s="474" customFormat="1" ht="15">
      <c r="A971" s="2099"/>
      <c r="B971" s="2100"/>
      <c r="C971" s="2100"/>
      <c r="D971" s="2100"/>
      <c r="E971" s="2099"/>
      <c r="F971" s="2099" t="s">
        <v>1882</v>
      </c>
      <c r="G971" s="2115" t="s">
        <v>226</v>
      </c>
      <c r="H971" s="2099" t="s">
        <v>1850</v>
      </c>
      <c r="I971" s="2099"/>
      <c r="J971" s="2102">
        <v>0.5</v>
      </c>
      <c r="K971" s="2103"/>
      <c r="L971" s="2104"/>
      <c r="M971" s="2103">
        <f>SUM(M970:M970)*J971%</f>
        <v>225</v>
      </c>
      <c r="N971" s="2106"/>
      <c r="O971" s="2106"/>
      <c r="P971" s="1952"/>
      <c r="Q971" s="2025"/>
      <c r="R971" s="2025"/>
      <c r="S971" s="2025"/>
    </row>
    <row r="972" spans="1:19" s="474" customFormat="1" ht="15">
      <c r="A972" s="2099"/>
      <c r="B972" s="2100"/>
      <c r="C972" s="2100"/>
      <c r="D972" s="2100"/>
      <c r="E972" s="2099"/>
      <c r="F972" s="2099"/>
      <c r="G972" s="2116" t="s">
        <v>225</v>
      </c>
      <c r="H972" s="2116"/>
      <c r="I972" s="2116"/>
      <c r="J972" s="2120"/>
      <c r="K972" s="2118"/>
      <c r="L972" s="2119"/>
      <c r="M972" s="2118">
        <f>ROUND(SUM(M973:M973),Config!C103)</f>
        <v>21936</v>
      </c>
      <c r="N972" s="2106"/>
      <c r="O972" s="2106"/>
      <c r="P972" s="1952"/>
      <c r="Q972" s="2025"/>
      <c r="R972" s="2025"/>
      <c r="S972" s="2025"/>
    </row>
    <row r="973" spans="1:19" s="474" customFormat="1" ht="15">
      <c r="A973" s="2099"/>
      <c r="B973" s="2100"/>
      <c r="C973" s="2100"/>
      <c r="D973" s="2100"/>
      <c r="E973" s="2099"/>
      <c r="F973" s="2099" t="s">
        <v>1866</v>
      </c>
      <c r="G973" s="2115" t="s">
        <v>1867</v>
      </c>
      <c r="H973" s="2099" t="s">
        <v>1833</v>
      </c>
      <c r="I973" s="2099"/>
      <c r="J973" s="2102">
        <v>9.6000000000000002E-2</v>
      </c>
      <c r="K973" s="2171">
        <f>'TH vat tu XD'!G196</f>
        <v>228500</v>
      </c>
      <c r="L973" s="2104"/>
      <c r="M973" s="2103">
        <f>IF(L973=0,J973*K973,J973*K973*L973)</f>
        <v>21936</v>
      </c>
      <c r="N973" s="2106">
        <f>IF(L973=0,I968*J973,I968*J973*L973)</f>
        <v>9.6000000000000002E-2</v>
      </c>
      <c r="O973" s="2106"/>
      <c r="P973" s="1952"/>
      <c r="Q973" s="2025"/>
      <c r="R973" s="2025"/>
      <c r="S973" s="2025"/>
    </row>
    <row r="974" spans="1:19" s="474" customFormat="1" ht="15" hidden="1">
      <c r="A974" s="2099"/>
      <c r="B974" s="2100"/>
      <c r="C974" s="2100"/>
      <c r="D974" s="2100"/>
      <c r="E974" s="2099"/>
      <c r="F974" s="2099"/>
      <c r="G974" s="2101" t="s">
        <v>109</v>
      </c>
      <c r="H974" s="2099"/>
      <c r="I974" s="2099"/>
      <c r="J974" s="2099" t="s">
        <v>333</v>
      </c>
      <c r="K974" s="2103"/>
      <c r="L974" s="2104"/>
      <c r="M974" s="2105">
        <f>M969+M972+0</f>
        <v>67161</v>
      </c>
      <c r="N974" s="2106"/>
      <c r="O974" s="2106"/>
      <c r="P974" s="1952"/>
      <c r="Q974" s="2025"/>
      <c r="R974" s="2025"/>
      <c r="S974" s="2025"/>
    </row>
    <row r="975" spans="1:19" s="474" customFormat="1" ht="15" hidden="1">
      <c r="A975" s="2099"/>
      <c r="B975" s="2100"/>
      <c r="C975" s="2100"/>
      <c r="D975" s="2100"/>
      <c r="E975" s="2099"/>
      <c r="F975" s="2099"/>
      <c r="G975" s="2101" t="s">
        <v>378</v>
      </c>
      <c r="H975" s="2099"/>
      <c r="I975" s="2099"/>
      <c r="J975" s="2099" t="str">
        <f ca="1">"T*"&amp;'THCP xay dung'!F222*100&amp;"%"</f>
        <v>T*6,2%</v>
      </c>
      <c r="K975" s="2103"/>
      <c r="L975" s="2104"/>
      <c r="M975" s="2105">
        <f ca="1">M974*'THCP xay dung'!F222*100%</f>
        <v>4163.982</v>
      </c>
      <c r="N975" s="2106"/>
      <c r="O975" s="2106"/>
      <c r="P975" s="1952"/>
      <c r="Q975" s="2025"/>
      <c r="R975" s="2025"/>
      <c r="S975" s="2025"/>
    </row>
    <row r="976" spans="1:19" s="474" customFormat="1" ht="28.5" hidden="1">
      <c r="A976" s="2099"/>
      <c r="B976" s="2100"/>
      <c r="C976" s="2100"/>
      <c r="D976" s="2100"/>
      <c r="E976" s="2099"/>
      <c r="F976" s="2099"/>
      <c r="G976" s="2101" t="s">
        <v>702</v>
      </c>
      <c r="H976" s="2099"/>
      <c r="I976" s="2099"/>
      <c r="J976" s="2099" t="str">
        <f>IF('THCP xay dung'!G223&lt;&gt;1,"T*"&amp;'THCP xay dung'!F223*100&amp;"%"&amp;"*"&amp;'THCP xay dung'!G223,"T*"&amp;'THCP xay dung'!F223*100&amp;"%")</f>
        <v>T*1,1%</v>
      </c>
      <c r="K976" s="2103"/>
      <c r="L976" s="2104"/>
      <c r="M976" s="2105">
        <f>IF('THCP xay dung'!G223&lt;&gt;1,M974*'THCP xay dung'!F223*100%*'THCP xay dung'!G223,M974*'THCP xay dung'!F223*100%)</f>
        <v>738.77100000000007</v>
      </c>
      <c r="N976" s="2106"/>
      <c r="O976" s="2106"/>
      <c r="P976" s="1952"/>
      <c r="Q976" s="2025"/>
      <c r="R976" s="2025"/>
      <c r="S976" s="2025"/>
    </row>
    <row r="977" spans="1:19" s="474" customFormat="1" ht="42.75" hidden="1">
      <c r="A977" s="2099"/>
      <c r="B977" s="2100"/>
      <c r="C977" s="2100"/>
      <c r="D977" s="2100"/>
      <c r="E977" s="2099"/>
      <c r="F977" s="2099"/>
      <c r="G977" s="2101" t="s">
        <v>703</v>
      </c>
      <c r="H977" s="2099"/>
      <c r="I977" s="2099"/>
      <c r="J977" s="2099" t="str">
        <f ca="1">"T*"&amp;'THCP xay dung'!F224*100&amp;"%"</f>
        <v>T*2%</v>
      </c>
      <c r="K977" s="2103"/>
      <c r="L977" s="2104"/>
      <c r="M977" s="2105">
        <f ca="1">M974*'THCP xay dung'!F224*100%</f>
        <v>1343.22</v>
      </c>
      <c r="N977" s="2106"/>
      <c r="O977" s="2106"/>
      <c r="P977" s="1952"/>
      <c r="Q977" s="2025"/>
      <c r="R977" s="2025"/>
      <c r="S977" s="2025"/>
    </row>
    <row r="978" spans="1:19" s="474" customFormat="1" ht="15" hidden="1">
      <c r="A978" s="2099"/>
      <c r="B978" s="2100"/>
      <c r="C978" s="2100"/>
      <c r="D978" s="2100"/>
      <c r="E978" s="2099"/>
      <c r="F978" s="2099"/>
      <c r="G978" s="2101" t="s">
        <v>701</v>
      </c>
      <c r="H978" s="2099"/>
      <c r="I978" s="2099"/>
      <c r="J978" s="2099" t="s">
        <v>931</v>
      </c>
      <c r="K978" s="2103"/>
      <c r="L978" s="2104"/>
      <c r="M978" s="2105">
        <f ca="1">M975+M976+M977</f>
        <v>6245.973</v>
      </c>
      <c r="N978" s="2106"/>
      <c r="O978" s="2106"/>
      <c r="P978" s="1952"/>
      <c r="Q978" s="2025"/>
      <c r="R978" s="2025"/>
      <c r="S978" s="2025"/>
    </row>
    <row r="979" spans="1:19" s="474" customFormat="1" ht="15" hidden="1">
      <c r="A979" s="2099"/>
      <c r="B979" s="2100"/>
      <c r="C979" s="2100"/>
      <c r="D979" s="2100"/>
      <c r="E979" s="2099"/>
      <c r="F979" s="2099"/>
      <c r="G979" s="2101" t="s">
        <v>574</v>
      </c>
      <c r="H979" s="2099"/>
      <c r="I979" s="2099"/>
      <c r="J979" s="2099" t="str">
        <f ca="1">"(T+GT)*"&amp;'THCP xay dung'!F226*100&amp;"%"</f>
        <v>(T+GT)*6%</v>
      </c>
      <c r="K979" s="2103"/>
      <c r="L979" s="2104"/>
      <c r="M979" s="2105">
        <f ca="1">(M974+M978)*'THCP xay dung'!F226*100%</f>
        <v>4404.4183800000001</v>
      </c>
      <c r="N979" s="2106"/>
      <c r="O979" s="2106"/>
      <c r="P979" s="1952"/>
      <c r="Q979" s="2025"/>
      <c r="R979" s="2025"/>
      <c r="S979" s="2025"/>
    </row>
    <row r="980" spans="1:19" s="474" customFormat="1" ht="15" hidden="1">
      <c r="A980" s="2099"/>
      <c r="B980" s="2100"/>
      <c r="C980" s="2100"/>
      <c r="D980" s="2100"/>
      <c r="E980" s="2099"/>
      <c r="F980" s="2099"/>
      <c r="G980" s="2101" t="s">
        <v>113</v>
      </c>
      <c r="H980" s="2099"/>
      <c r="I980" s="2099"/>
      <c r="J980" s="2099" t="s">
        <v>705</v>
      </c>
      <c r="K980" s="2103"/>
      <c r="L980" s="2104"/>
      <c r="M980" s="2105">
        <f ca="1">M974+M978+M979</f>
        <v>77811.391380000001</v>
      </c>
      <c r="N980" s="2106"/>
      <c r="O980" s="2106"/>
      <c r="P980" s="1952"/>
      <c r="Q980" s="2025"/>
      <c r="R980" s="2025"/>
      <c r="S980" s="2025"/>
    </row>
    <row r="981" spans="1:19" s="474" customFormat="1" ht="15" hidden="1">
      <c r="A981" s="2099"/>
      <c r="B981" s="2100"/>
      <c r="C981" s="2100"/>
      <c r="D981" s="2100"/>
      <c r="E981" s="2099"/>
      <c r="F981" s="2099"/>
      <c r="G981" s="2101" t="s">
        <v>575</v>
      </c>
      <c r="H981" s="2099"/>
      <c r="I981" s="2099"/>
      <c r="J981" s="2099" t="str">
        <f>"G*"&amp;'THCP xay dung'!F228*100&amp;"%"</f>
        <v>G*10%</v>
      </c>
      <c r="K981" s="2103"/>
      <c r="L981" s="2104"/>
      <c r="M981" s="2105">
        <f ca="1">M980*'THCP xay dung'!F228*100%</f>
        <v>7781.1391380000005</v>
      </c>
      <c r="N981" s="2106"/>
      <c r="O981" s="2106"/>
      <c r="P981" s="1952"/>
      <c r="Q981" s="2025"/>
      <c r="R981" s="2025"/>
      <c r="S981" s="2025"/>
    </row>
    <row r="982" spans="1:19" s="474" customFormat="1" ht="15" hidden="1">
      <c r="A982" s="2099"/>
      <c r="B982" s="2100"/>
      <c r="C982" s="2100"/>
      <c r="D982" s="2100"/>
      <c r="E982" s="2099"/>
      <c r="F982" s="2099"/>
      <c r="G982" s="2101" t="s">
        <v>117</v>
      </c>
      <c r="H982" s="2099"/>
      <c r="I982" s="2099"/>
      <c r="J982" s="2099" t="s">
        <v>596</v>
      </c>
      <c r="K982" s="2103"/>
      <c r="L982" s="2104"/>
      <c r="M982" s="2105">
        <f ca="1">M980+M981</f>
        <v>85592.530518</v>
      </c>
      <c r="N982" s="2106"/>
      <c r="O982" s="2106"/>
      <c r="P982" s="1952"/>
      <c r="Q982" s="2025"/>
      <c r="R982" s="2025"/>
      <c r="S982" s="2025"/>
    </row>
    <row r="983" spans="1:19" s="474" customFormat="1" ht="15" hidden="1">
      <c r="A983" s="2099"/>
      <c r="B983" s="2100"/>
      <c r="C983" s="2100"/>
      <c r="D983" s="2100"/>
      <c r="E983" s="2099"/>
      <c r="F983" s="2099"/>
      <c r="G983" s="2101" t="s">
        <v>168</v>
      </c>
      <c r="H983" s="2099"/>
      <c r="I983" s="2099"/>
      <c r="J983" s="2099" t="str">
        <f ca="1">"GXD*"&amp;'THCP xay dung'!F230*100&amp;"%"</f>
        <v>GXD*6%</v>
      </c>
      <c r="K983" s="2103"/>
      <c r="L983" s="2104"/>
      <c r="M983" s="2105">
        <f ca="1">M982*'THCP xay dung'!F230*100%</f>
        <v>5135.5518310799998</v>
      </c>
      <c r="N983" s="2106"/>
      <c r="O983" s="2106"/>
      <c r="P983" s="1952"/>
      <c r="Q983" s="2025"/>
      <c r="R983" s="2025"/>
      <c r="S983" s="2025"/>
    </row>
    <row r="984" spans="1:19" s="474" customFormat="1" ht="15" hidden="1">
      <c r="A984" s="2122" t="s">
        <v>304</v>
      </c>
      <c r="B984" s="2123"/>
      <c r="C984" s="2123"/>
      <c r="D984" s="2123"/>
      <c r="E984" s="2122"/>
      <c r="F984" s="2122"/>
      <c r="G984" s="2109" t="s">
        <v>1837</v>
      </c>
      <c r="H984" s="2107"/>
      <c r="I984" s="2107"/>
      <c r="J984" s="2107" t="s">
        <v>1636</v>
      </c>
      <c r="K984" s="2110"/>
      <c r="L984" s="2111"/>
      <c r="M984" s="2112">
        <f ca="1">M982+M983</f>
        <v>90728.082349079996</v>
      </c>
      <c r="N984" s="2113"/>
      <c r="O984" s="2113"/>
      <c r="P984" s="1952"/>
      <c r="Q984" s="2025"/>
      <c r="R984" s="2025"/>
      <c r="S984" s="2025"/>
    </row>
    <row r="985" spans="1:19" s="474" customFormat="1" ht="30">
      <c r="A985" s="2159">
        <v>111</v>
      </c>
      <c r="B985" s="2160">
        <f>'Du toan XD'!B322</f>
        <v>10</v>
      </c>
      <c r="C985" s="2160"/>
      <c r="D985" s="2160" t="s">
        <v>1579</v>
      </c>
      <c r="E985" s="2159" t="s">
        <v>1579</v>
      </c>
      <c r="F985" s="2159"/>
      <c r="G985" s="2165" t="str">
        <f>'Du toan XD'!F322</f>
        <v>Công tắc một chiều 4 phím 250V/10A loại âm tường</v>
      </c>
      <c r="H985" s="2159" t="str">
        <f>'Du toan XD'!G322</f>
        <v>cái</v>
      </c>
      <c r="I985" s="2159">
        <f>'Du toan XD'!H322</f>
        <v>1</v>
      </c>
      <c r="J985" s="2161"/>
      <c r="K985" s="2162"/>
      <c r="L985" s="2163"/>
      <c r="M985" s="2162"/>
      <c r="N985" s="2164"/>
      <c r="O985" s="2164"/>
      <c r="P985" s="1952">
        <f>M986</f>
        <v>64320</v>
      </c>
      <c r="Q985" s="2025"/>
      <c r="R985" s="2025">
        <f>M989</f>
        <v>23764</v>
      </c>
      <c r="S985" s="2025"/>
    </row>
    <row r="986" spans="1:19" s="474" customFormat="1" ht="15">
      <c r="A986" s="2099"/>
      <c r="B986" s="2100"/>
      <c r="C986" s="2100"/>
      <c r="D986" s="2100"/>
      <c r="E986" s="2099"/>
      <c r="F986" s="2099"/>
      <c r="G986" s="2116" t="s">
        <v>224</v>
      </c>
      <c r="H986" s="2116"/>
      <c r="I986" s="2116"/>
      <c r="J986" s="2120"/>
      <c r="K986" s="2118"/>
      <c r="L986" s="2119"/>
      <c r="M986" s="2118">
        <f>ROUND(SUM(M987:M988),Config!C103)</f>
        <v>64320</v>
      </c>
      <c r="N986" s="2106"/>
      <c r="O986" s="2106"/>
      <c r="P986" s="1952"/>
      <c r="Q986" s="2025"/>
      <c r="R986" s="2025"/>
      <c r="S986" s="2025"/>
    </row>
    <row r="987" spans="1:19" s="474" customFormat="1" ht="15">
      <c r="A987" s="2099"/>
      <c r="B987" s="2100"/>
      <c r="C987" s="2100"/>
      <c r="D987" s="2100"/>
      <c r="E987" s="2099"/>
      <c r="F987" s="2099" t="s">
        <v>2017</v>
      </c>
      <c r="G987" s="2115" t="s">
        <v>2018</v>
      </c>
      <c r="H987" s="2099" t="s">
        <v>1955</v>
      </c>
      <c r="I987" s="2099"/>
      <c r="J987" s="2102">
        <v>1</v>
      </c>
      <c r="K987" s="2171">
        <f>'TH vat tu XD'!G185</f>
        <v>64000</v>
      </c>
      <c r="L987" s="2104"/>
      <c r="M987" s="2103">
        <f>IF(L987=0,J987*K987,J987*K987*L987)</f>
        <v>64000</v>
      </c>
      <c r="N987" s="2106">
        <f>IF(L987=0,I985*J987,I985*J987*L987)</f>
        <v>1</v>
      </c>
      <c r="O987" s="2106">
        <f>J988%*N987</f>
        <v>5.0000000000000001E-3</v>
      </c>
      <c r="P987" s="1952"/>
      <c r="Q987" s="2025"/>
      <c r="R987" s="2025"/>
      <c r="S987" s="2025"/>
    </row>
    <row r="988" spans="1:19" s="474" customFormat="1" ht="15">
      <c r="A988" s="2099"/>
      <c r="B988" s="2100"/>
      <c r="C988" s="2100"/>
      <c r="D988" s="2100"/>
      <c r="E988" s="2099"/>
      <c r="F988" s="2099" t="s">
        <v>1882</v>
      </c>
      <c r="G988" s="2115" t="s">
        <v>226</v>
      </c>
      <c r="H988" s="2099" t="s">
        <v>1850</v>
      </c>
      <c r="I988" s="2099"/>
      <c r="J988" s="2102">
        <v>0.5</v>
      </c>
      <c r="K988" s="2103"/>
      <c r="L988" s="2104"/>
      <c r="M988" s="2103">
        <f>SUM(M987:M987)*J988%</f>
        <v>320</v>
      </c>
      <c r="N988" s="2106"/>
      <c r="O988" s="2106"/>
      <c r="P988" s="1952"/>
      <c r="Q988" s="2025"/>
      <c r="R988" s="2025"/>
      <c r="S988" s="2025"/>
    </row>
    <row r="989" spans="1:19" s="474" customFormat="1" ht="15">
      <c r="A989" s="2099"/>
      <c r="B989" s="2100"/>
      <c r="C989" s="2100"/>
      <c r="D989" s="2100"/>
      <c r="E989" s="2099"/>
      <c r="F989" s="2099"/>
      <c r="G989" s="2116" t="s">
        <v>225</v>
      </c>
      <c r="H989" s="2116"/>
      <c r="I989" s="2116"/>
      <c r="J989" s="2120"/>
      <c r="K989" s="2118"/>
      <c r="L989" s="2119"/>
      <c r="M989" s="2118">
        <f>ROUND(SUM(M990:M990),Config!C103)</f>
        <v>23764</v>
      </c>
      <c r="N989" s="2106"/>
      <c r="O989" s="2106"/>
      <c r="P989" s="1952"/>
      <c r="Q989" s="2025"/>
      <c r="R989" s="2025"/>
      <c r="S989" s="2025"/>
    </row>
    <row r="990" spans="1:19" s="474" customFormat="1" ht="15">
      <c r="A990" s="2099"/>
      <c r="B990" s="2100"/>
      <c r="C990" s="2100"/>
      <c r="D990" s="2100"/>
      <c r="E990" s="2099"/>
      <c r="F990" s="2099" t="s">
        <v>1866</v>
      </c>
      <c r="G990" s="2115" t="s">
        <v>1867</v>
      </c>
      <c r="H990" s="2099" t="s">
        <v>1833</v>
      </c>
      <c r="I990" s="2099"/>
      <c r="J990" s="2102">
        <v>0.104</v>
      </c>
      <c r="K990" s="2171">
        <f>'TH vat tu XD'!G196</f>
        <v>228500</v>
      </c>
      <c r="L990" s="2104"/>
      <c r="M990" s="2103">
        <f>IF(L990=0,J990*K990,J990*K990*L990)</f>
        <v>23764</v>
      </c>
      <c r="N990" s="2106">
        <f>IF(L990=0,I985*J990,I985*J990*L990)</f>
        <v>0.104</v>
      </c>
      <c r="O990" s="2106"/>
      <c r="P990" s="1952"/>
      <c r="Q990" s="2025"/>
      <c r="R990" s="2025"/>
      <c r="S990" s="2025"/>
    </row>
    <row r="991" spans="1:19" s="474" customFormat="1" ht="15" hidden="1">
      <c r="A991" s="2099"/>
      <c r="B991" s="2100"/>
      <c r="C991" s="2100"/>
      <c r="D991" s="2100"/>
      <c r="E991" s="2099"/>
      <c r="F991" s="2099"/>
      <c r="G991" s="2101" t="s">
        <v>109</v>
      </c>
      <c r="H991" s="2099"/>
      <c r="I991" s="2099"/>
      <c r="J991" s="2099" t="s">
        <v>333</v>
      </c>
      <c r="K991" s="2103"/>
      <c r="L991" s="2104"/>
      <c r="M991" s="2105">
        <f>M986+M989+0</f>
        <v>88084</v>
      </c>
      <c r="N991" s="2106"/>
      <c r="O991" s="2106"/>
      <c r="P991" s="1952"/>
      <c r="Q991" s="2025"/>
      <c r="R991" s="2025"/>
      <c r="S991" s="2025"/>
    </row>
    <row r="992" spans="1:19" s="474" customFormat="1" ht="15" hidden="1">
      <c r="A992" s="2099"/>
      <c r="B992" s="2100"/>
      <c r="C992" s="2100"/>
      <c r="D992" s="2100"/>
      <c r="E992" s="2099"/>
      <c r="F992" s="2099"/>
      <c r="G992" s="2101" t="s">
        <v>378</v>
      </c>
      <c r="H992" s="2099"/>
      <c r="I992" s="2099"/>
      <c r="J992" s="2099" t="str">
        <f ca="1">"T*"&amp;'THCP xay dung'!F222*100&amp;"%"</f>
        <v>T*6,2%</v>
      </c>
      <c r="K992" s="2103"/>
      <c r="L992" s="2104"/>
      <c r="M992" s="2105">
        <f ca="1">M991*'THCP xay dung'!F222*100%</f>
        <v>5461.2079999999996</v>
      </c>
      <c r="N992" s="2106"/>
      <c r="O992" s="2106"/>
      <c r="P992" s="1952"/>
      <c r="Q992" s="2025"/>
      <c r="R992" s="2025"/>
      <c r="S992" s="2025"/>
    </row>
    <row r="993" spans="1:19" s="474" customFormat="1" ht="28.5" hidden="1">
      <c r="A993" s="2099"/>
      <c r="B993" s="2100"/>
      <c r="C993" s="2100"/>
      <c r="D993" s="2100"/>
      <c r="E993" s="2099"/>
      <c r="F993" s="2099"/>
      <c r="G993" s="2101" t="s">
        <v>702</v>
      </c>
      <c r="H993" s="2099"/>
      <c r="I993" s="2099"/>
      <c r="J993" s="2099" t="str">
        <f>IF('THCP xay dung'!G223&lt;&gt;1,"T*"&amp;'THCP xay dung'!F223*100&amp;"%"&amp;"*"&amp;'THCP xay dung'!G223,"T*"&amp;'THCP xay dung'!F223*100&amp;"%")</f>
        <v>T*1,1%</v>
      </c>
      <c r="K993" s="2103"/>
      <c r="L993" s="2104"/>
      <c r="M993" s="2105">
        <f>IF('THCP xay dung'!G223&lt;&gt;1,M991*'THCP xay dung'!F223*100%*'THCP xay dung'!G223,M991*'THCP xay dung'!F223*100%)</f>
        <v>968.92400000000009</v>
      </c>
      <c r="N993" s="2106"/>
      <c r="O993" s="2106"/>
      <c r="P993" s="1952"/>
      <c r="Q993" s="2025"/>
      <c r="R993" s="2025"/>
      <c r="S993" s="2025"/>
    </row>
    <row r="994" spans="1:19" s="474" customFormat="1" ht="42.75" hidden="1">
      <c r="A994" s="2099"/>
      <c r="B994" s="2100"/>
      <c r="C994" s="2100"/>
      <c r="D994" s="2100"/>
      <c r="E994" s="2099"/>
      <c r="F994" s="2099"/>
      <c r="G994" s="2101" t="s">
        <v>703</v>
      </c>
      <c r="H994" s="2099"/>
      <c r="I994" s="2099"/>
      <c r="J994" s="2099" t="str">
        <f ca="1">"T*"&amp;'THCP xay dung'!F224*100&amp;"%"</f>
        <v>T*2%</v>
      </c>
      <c r="K994" s="2103"/>
      <c r="L994" s="2104"/>
      <c r="M994" s="2105">
        <f ca="1">M991*'THCP xay dung'!F224*100%</f>
        <v>1761.68</v>
      </c>
      <c r="N994" s="2106"/>
      <c r="O994" s="2106"/>
      <c r="P994" s="1952"/>
      <c r="Q994" s="2025"/>
      <c r="R994" s="2025"/>
      <c r="S994" s="2025"/>
    </row>
    <row r="995" spans="1:19" s="474" customFormat="1" ht="15" hidden="1">
      <c r="A995" s="2099"/>
      <c r="B995" s="2100"/>
      <c r="C995" s="2100"/>
      <c r="D995" s="2100"/>
      <c r="E995" s="2099"/>
      <c r="F995" s="2099"/>
      <c r="G995" s="2101" t="s">
        <v>701</v>
      </c>
      <c r="H995" s="2099"/>
      <c r="I995" s="2099"/>
      <c r="J995" s="2099" t="s">
        <v>931</v>
      </c>
      <c r="K995" s="2103"/>
      <c r="L995" s="2104"/>
      <c r="M995" s="2105">
        <f ca="1">M992+M993+M994</f>
        <v>8191.8119999999999</v>
      </c>
      <c r="N995" s="2106"/>
      <c r="O995" s="2106"/>
      <c r="P995" s="1952"/>
      <c r="Q995" s="2025"/>
      <c r="R995" s="2025"/>
      <c r="S995" s="2025"/>
    </row>
    <row r="996" spans="1:19" s="474" customFormat="1" ht="15" hidden="1">
      <c r="A996" s="2099"/>
      <c r="B996" s="2100"/>
      <c r="C996" s="2100"/>
      <c r="D996" s="2100"/>
      <c r="E996" s="2099"/>
      <c r="F996" s="2099"/>
      <c r="G996" s="2101" t="s">
        <v>574</v>
      </c>
      <c r="H996" s="2099"/>
      <c r="I996" s="2099"/>
      <c r="J996" s="2099" t="str">
        <f ca="1">"(T+GT)*"&amp;'THCP xay dung'!F226*100&amp;"%"</f>
        <v>(T+GT)*6%</v>
      </c>
      <c r="K996" s="2103"/>
      <c r="L996" s="2104"/>
      <c r="M996" s="2105">
        <f ca="1">(M991+M995)*'THCP xay dung'!F226*100%</f>
        <v>5776.5487199999998</v>
      </c>
      <c r="N996" s="2106"/>
      <c r="O996" s="2106"/>
      <c r="P996" s="1952"/>
      <c r="Q996" s="2025"/>
      <c r="R996" s="2025"/>
      <c r="S996" s="2025"/>
    </row>
    <row r="997" spans="1:19" s="474" customFormat="1" ht="15" hidden="1">
      <c r="A997" s="2099"/>
      <c r="B997" s="2100"/>
      <c r="C997" s="2100"/>
      <c r="D997" s="2100"/>
      <c r="E997" s="2099"/>
      <c r="F997" s="2099"/>
      <c r="G997" s="2101" t="s">
        <v>113</v>
      </c>
      <c r="H997" s="2099"/>
      <c r="I997" s="2099"/>
      <c r="J997" s="2099" t="s">
        <v>705</v>
      </c>
      <c r="K997" s="2103"/>
      <c r="L997" s="2104"/>
      <c r="M997" s="2105">
        <f ca="1">M991+M995+M996</f>
        <v>102052.36072000001</v>
      </c>
      <c r="N997" s="2106"/>
      <c r="O997" s="2106"/>
      <c r="P997" s="1952"/>
      <c r="Q997" s="2025"/>
      <c r="R997" s="2025"/>
      <c r="S997" s="2025"/>
    </row>
    <row r="998" spans="1:19" s="474" customFormat="1" ht="15" hidden="1">
      <c r="A998" s="2099"/>
      <c r="B998" s="2100"/>
      <c r="C998" s="2100"/>
      <c r="D998" s="2100"/>
      <c r="E998" s="2099"/>
      <c r="F998" s="2099"/>
      <c r="G998" s="2101" t="s">
        <v>575</v>
      </c>
      <c r="H998" s="2099"/>
      <c r="I998" s="2099"/>
      <c r="J998" s="2099" t="str">
        <f>"G*"&amp;'THCP xay dung'!F228*100&amp;"%"</f>
        <v>G*10%</v>
      </c>
      <c r="K998" s="2103"/>
      <c r="L998" s="2104"/>
      <c r="M998" s="2105">
        <f ca="1">M997*'THCP xay dung'!F228*100%</f>
        <v>10205.236072000002</v>
      </c>
      <c r="N998" s="2106"/>
      <c r="O998" s="2106"/>
      <c r="P998" s="1952"/>
      <c r="Q998" s="2025"/>
      <c r="R998" s="2025"/>
      <c r="S998" s="2025"/>
    </row>
    <row r="999" spans="1:19" s="474" customFormat="1" ht="15" hidden="1">
      <c r="A999" s="2099"/>
      <c r="B999" s="2100"/>
      <c r="C999" s="2100"/>
      <c r="D999" s="2100"/>
      <c r="E999" s="2099"/>
      <c r="F999" s="2099"/>
      <c r="G999" s="2101" t="s">
        <v>117</v>
      </c>
      <c r="H999" s="2099"/>
      <c r="I999" s="2099"/>
      <c r="J999" s="2099" t="s">
        <v>596</v>
      </c>
      <c r="K999" s="2103"/>
      <c r="L999" s="2104"/>
      <c r="M999" s="2105">
        <f ca="1">M997+M998</f>
        <v>112257.59679200001</v>
      </c>
      <c r="N999" s="2106"/>
      <c r="O999" s="2106"/>
      <c r="P999" s="1952"/>
      <c r="Q999" s="2025"/>
      <c r="R999" s="2025"/>
      <c r="S999" s="2025"/>
    </row>
    <row r="1000" spans="1:19" s="474" customFormat="1" ht="15" hidden="1">
      <c r="A1000" s="2099"/>
      <c r="B1000" s="2100"/>
      <c r="C1000" s="2100"/>
      <c r="D1000" s="2100"/>
      <c r="E1000" s="2099"/>
      <c r="F1000" s="2099"/>
      <c r="G1000" s="2101" t="s">
        <v>168</v>
      </c>
      <c r="H1000" s="2099"/>
      <c r="I1000" s="2099"/>
      <c r="J1000" s="2099" t="str">
        <f ca="1">"GXD*"&amp;'THCP xay dung'!F230*100&amp;"%"</f>
        <v>GXD*6%</v>
      </c>
      <c r="K1000" s="2103"/>
      <c r="L1000" s="2104"/>
      <c r="M1000" s="2105">
        <f ca="1">M999*'THCP xay dung'!F230*100%</f>
        <v>6735.4558075200002</v>
      </c>
      <c r="N1000" s="2106"/>
      <c r="O1000" s="2106"/>
      <c r="P1000" s="1952"/>
      <c r="Q1000" s="2025"/>
      <c r="R1000" s="2025"/>
      <c r="S1000" s="2025"/>
    </row>
    <row r="1001" spans="1:19" s="474" customFormat="1" ht="15" hidden="1">
      <c r="A1001" s="2122" t="s">
        <v>304</v>
      </c>
      <c r="B1001" s="2123"/>
      <c r="C1001" s="2123"/>
      <c r="D1001" s="2123"/>
      <c r="E1001" s="2122"/>
      <c r="F1001" s="2122"/>
      <c r="G1001" s="2109" t="s">
        <v>1837</v>
      </c>
      <c r="H1001" s="2107"/>
      <c r="I1001" s="2107"/>
      <c r="J1001" s="2107" t="s">
        <v>1636</v>
      </c>
      <c r="K1001" s="2110"/>
      <c r="L1001" s="2111"/>
      <c r="M1001" s="2112">
        <f ca="1">M999+M1000</f>
        <v>118993.05259952002</v>
      </c>
      <c r="N1001" s="2113"/>
      <c r="O1001" s="2113"/>
      <c r="P1001" s="1952"/>
      <c r="Q1001" s="2025"/>
      <c r="R1001" s="2025"/>
      <c r="S1001" s="2025"/>
    </row>
    <row r="1002" spans="1:19" s="474" customFormat="1" ht="15">
      <c r="A1002" s="2159">
        <v>112</v>
      </c>
      <c r="B1002" s="2160">
        <f>'Du toan XD'!B323</f>
        <v>11</v>
      </c>
      <c r="C1002" s="2160"/>
      <c r="D1002" s="2160" t="s">
        <v>1580</v>
      </c>
      <c r="E1002" s="2159" t="s">
        <v>1580</v>
      </c>
      <c r="F1002" s="2159"/>
      <c r="G1002" s="2165" t="str">
        <f>'Du toan XD'!F324</f>
        <v>Dây CU/PVC/PVC (2x4)mm2</v>
      </c>
      <c r="H1002" s="2159" t="str">
        <f>'Du toan XD'!G323</f>
        <v>cái</v>
      </c>
      <c r="I1002" s="2159">
        <f>'Du toan XD'!H323</f>
        <v>12</v>
      </c>
      <c r="J1002" s="2161"/>
      <c r="K1002" s="2162"/>
      <c r="L1002" s="2163"/>
      <c r="M1002" s="2162"/>
      <c r="N1002" s="2164"/>
      <c r="O1002" s="2164"/>
      <c r="P1002" s="1952">
        <f>M1003</f>
        <v>49245</v>
      </c>
      <c r="Q1002" s="2025"/>
      <c r="R1002" s="2025">
        <f>M1006</f>
        <v>21936</v>
      </c>
      <c r="S1002" s="2025"/>
    </row>
    <row r="1003" spans="1:19" s="474" customFormat="1" ht="15">
      <c r="A1003" s="2099"/>
      <c r="B1003" s="2100"/>
      <c r="C1003" s="2100"/>
      <c r="D1003" s="2100"/>
      <c r="E1003" s="2099"/>
      <c r="F1003" s="2099"/>
      <c r="G1003" s="2116" t="s">
        <v>224</v>
      </c>
      <c r="H1003" s="2116"/>
      <c r="I1003" s="2116"/>
      <c r="J1003" s="2120"/>
      <c r="K1003" s="2118"/>
      <c r="L1003" s="2119"/>
      <c r="M1003" s="2118">
        <f>ROUND(SUM(M1004:M1005),Config!C103)</f>
        <v>49245</v>
      </c>
      <c r="N1003" s="2106"/>
      <c r="O1003" s="2106"/>
      <c r="P1003" s="1952"/>
      <c r="Q1003" s="2025"/>
      <c r="R1003" s="2025"/>
      <c r="S1003" s="2025"/>
    </row>
    <row r="1004" spans="1:19" s="474" customFormat="1" ht="15">
      <c r="A1004" s="2099"/>
      <c r="B1004" s="2100"/>
      <c r="C1004" s="2100"/>
      <c r="D1004" s="2100"/>
      <c r="E1004" s="2099"/>
      <c r="F1004" s="2099" t="s">
        <v>2019</v>
      </c>
      <c r="G1004" s="2115" t="s">
        <v>2020</v>
      </c>
      <c r="H1004" s="2099" t="s">
        <v>1955</v>
      </c>
      <c r="I1004" s="2099"/>
      <c r="J1004" s="2102">
        <v>1</v>
      </c>
      <c r="K1004" s="2171">
        <f>'TH vat tu XD'!G192</f>
        <v>49000</v>
      </c>
      <c r="L1004" s="2104"/>
      <c r="M1004" s="2103">
        <f>IF(L1004=0,J1004*K1004,J1004*K1004*L1004)</f>
        <v>49000</v>
      </c>
      <c r="N1004" s="2106">
        <f>IF(L1004=0,I1002*J1004,I1002*J1004*L1004)</f>
        <v>12</v>
      </c>
      <c r="O1004" s="2106">
        <f>J1005%*N1004</f>
        <v>0.06</v>
      </c>
      <c r="P1004" s="1952"/>
      <c r="Q1004" s="2025"/>
      <c r="R1004" s="2025"/>
      <c r="S1004" s="2025"/>
    </row>
    <row r="1005" spans="1:19" s="474" customFormat="1" ht="15">
      <c r="A1005" s="2099"/>
      <c r="B1005" s="2100"/>
      <c r="C1005" s="2100"/>
      <c r="D1005" s="2100"/>
      <c r="E1005" s="2099"/>
      <c r="F1005" s="2099" t="s">
        <v>1882</v>
      </c>
      <c r="G1005" s="2115" t="s">
        <v>226</v>
      </c>
      <c r="H1005" s="2099" t="s">
        <v>1850</v>
      </c>
      <c r="I1005" s="2099"/>
      <c r="J1005" s="2102">
        <v>0.5</v>
      </c>
      <c r="K1005" s="2103"/>
      <c r="L1005" s="2104"/>
      <c r="M1005" s="2103">
        <f>SUM(M1004:M1004)*J1005%</f>
        <v>245</v>
      </c>
      <c r="N1005" s="2106"/>
      <c r="O1005" s="2106"/>
      <c r="P1005" s="1952"/>
      <c r="Q1005" s="2025"/>
      <c r="R1005" s="2025"/>
      <c r="S1005" s="2025"/>
    </row>
    <row r="1006" spans="1:19" s="474" customFormat="1" ht="15">
      <c r="A1006" s="2099"/>
      <c r="B1006" s="2100"/>
      <c r="C1006" s="2100"/>
      <c r="D1006" s="2100"/>
      <c r="E1006" s="2099"/>
      <c r="F1006" s="2099"/>
      <c r="G1006" s="2116" t="s">
        <v>225</v>
      </c>
      <c r="H1006" s="2116"/>
      <c r="I1006" s="2116"/>
      <c r="J1006" s="2120"/>
      <c r="K1006" s="2118"/>
      <c r="L1006" s="2119"/>
      <c r="M1006" s="2118">
        <f>ROUND(SUM(M1007:M1007),Config!C103)</f>
        <v>21936</v>
      </c>
      <c r="N1006" s="2106"/>
      <c r="O1006" s="2106"/>
      <c r="P1006" s="1952"/>
      <c r="Q1006" s="2025"/>
      <c r="R1006" s="2025"/>
      <c r="S1006" s="2025"/>
    </row>
    <row r="1007" spans="1:19" s="474" customFormat="1" ht="15">
      <c r="A1007" s="2099"/>
      <c r="B1007" s="2100"/>
      <c r="C1007" s="2100"/>
      <c r="D1007" s="2100"/>
      <c r="E1007" s="2099"/>
      <c r="F1007" s="2099" t="s">
        <v>1866</v>
      </c>
      <c r="G1007" s="2115" t="s">
        <v>1867</v>
      </c>
      <c r="H1007" s="2099" t="s">
        <v>1833</v>
      </c>
      <c r="I1007" s="2099"/>
      <c r="J1007" s="2102">
        <v>9.6000000000000002E-2</v>
      </c>
      <c r="K1007" s="2171">
        <f>'TH vat tu XD'!G196</f>
        <v>228500</v>
      </c>
      <c r="L1007" s="2104"/>
      <c r="M1007" s="2103">
        <f>IF(L1007=0,J1007*K1007,J1007*K1007*L1007)</f>
        <v>21936</v>
      </c>
      <c r="N1007" s="2106">
        <f>IF(L1007=0,I1002*J1007,I1002*J1007*L1007)</f>
        <v>1.1520000000000001</v>
      </c>
      <c r="O1007" s="2106"/>
      <c r="P1007" s="1952"/>
      <c r="Q1007" s="2025"/>
      <c r="R1007" s="2025"/>
      <c r="S1007" s="2025"/>
    </row>
    <row r="1008" spans="1:19" s="474" customFormat="1" ht="15" hidden="1">
      <c r="A1008" s="2099"/>
      <c r="B1008" s="2100"/>
      <c r="C1008" s="2100"/>
      <c r="D1008" s="2100"/>
      <c r="E1008" s="2099"/>
      <c r="F1008" s="2099"/>
      <c r="G1008" s="2101" t="s">
        <v>109</v>
      </c>
      <c r="H1008" s="2099"/>
      <c r="I1008" s="2099"/>
      <c r="J1008" s="2099" t="s">
        <v>333</v>
      </c>
      <c r="K1008" s="2103"/>
      <c r="L1008" s="2104"/>
      <c r="M1008" s="2105">
        <f>M1003+M1006+0</f>
        <v>71181</v>
      </c>
      <c r="N1008" s="2106"/>
      <c r="O1008" s="2106"/>
      <c r="P1008" s="1952"/>
      <c r="Q1008" s="2025"/>
      <c r="R1008" s="2025"/>
      <c r="S1008" s="2025"/>
    </row>
    <row r="1009" spans="1:19" s="474" customFormat="1" ht="15" hidden="1">
      <c r="A1009" s="2099"/>
      <c r="B1009" s="2100"/>
      <c r="C1009" s="2100"/>
      <c r="D1009" s="2100"/>
      <c r="E1009" s="2099"/>
      <c r="F1009" s="2099"/>
      <c r="G1009" s="2101" t="s">
        <v>378</v>
      </c>
      <c r="H1009" s="2099"/>
      <c r="I1009" s="2099"/>
      <c r="J1009" s="2099" t="str">
        <f ca="1">"T*"&amp;'THCP xay dung'!F222*100&amp;"%"</f>
        <v>T*6,2%</v>
      </c>
      <c r="K1009" s="2103"/>
      <c r="L1009" s="2104"/>
      <c r="M1009" s="2105">
        <f ca="1">M1008*'THCP xay dung'!F222*100%</f>
        <v>4413.2219999999998</v>
      </c>
      <c r="N1009" s="2106"/>
      <c r="O1009" s="2106"/>
      <c r="P1009" s="1952"/>
      <c r="Q1009" s="2025"/>
      <c r="R1009" s="2025"/>
      <c r="S1009" s="2025"/>
    </row>
    <row r="1010" spans="1:19" s="474" customFormat="1" ht="28.5" hidden="1">
      <c r="A1010" s="2099"/>
      <c r="B1010" s="2100"/>
      <c r="C1010" s="2100"/>
      <c r="D1010" s="2100"/>
      <c r="E1010" s="2099"/>
      <c r="F1010" s="2099"/>
      <c r="G1010" s="2101" t="s">
        <v>702</v>
      </c>
      <c r="H1010" s="2099"/>
      <c r="I1010" s="2099"/>
      <c r="J1010" s="2099" t="str">
        <f>IF('THCP xay dung'!G223&lt;&gt;1,"T*"&amp;'THCP xay dung'!F223*100&amp;"%"&amp;"*"&amp;'THCP xay dung'!G223,"T*"&amp;'THCP xay dung'!F223*100&amp;"%")</f>
        <v>T*1,1%</v>
      </c>
      <c r="K1010" s="2103"/>
      <c r="L1010" s="2104"/>
      <c r="M1010" s="2105">
        <f>IF('THCP xay dung'!G223&lt;&gt;1,M1008*'THCP xay dung'!F223*100%*'THCP xay dung'!G223,M1008*'THCP xay dung'!F223*100%)</f>
        <v>782.9910000000001</v>
      </c>
      <c r="N1010" s="2106"/>
      <c r="O1010" s="2106"/>
      <c r="P1010" s="1952"/>
      <c r="Q1010" s="2025"/>
      <c r="R1010" s="2025"/>
      <c r="S1010" s="2025"/>
    </row>
    <row r="1011" spans="1:19" s="474" customFormat="1" ht="42.75" hidden="1">
      <c r="A1011" s="2099"/>
      <c r="B1011" s="2100"/>
      <c r="C1011" s="2100"/>
      <c r="D1011" s="2100"/>
      <c r="E1011" s="2099"/>
      <c r="F1011" s="2099"/>
      <c r="G1011" s="2101" t="s">
        <v>703</v>
      </c>
      <c r="H1011" s="2099"/>
      <c r="I1011" s="2099"/>
      <c r="J1011" s="2099" t="str">
        <f ca="1">"T*"&amp;'THCP xay dung'!F224*100&amp;"%"</f>
        <v>T*2%</v>
      </c>
      <c r="K1011" s="2103"/>
      <c r="L1011" s="2104"/>
      <c r="M1011" s="2105">
        <f ca="1">M1008*'THCP xay dung'!F224*100%</f>
        <v>1423.6200000000001</v>
      </c>
      <c r="N1011" s="2106"/>
      <c r="O1011" s="2106"/>
      <c r="P1011" s="1952"/>
      <c r="Q1011" s="2025"/>
      <c r="R1011" s="2025"/>
      <c r="S1011" s="2025"/>
    </row>
    <row r="1012" spans="1:19" s="474" customFormat="1" ht="15" hidden="1">
      <c r="A1012" s="2099"/>
      <c r="B1012" s="2100"/>
      <c r="C1012" s="2100"/>
      <c r="D1012" s="2100"/>
      <c r="E1012" s="2099"/>
      <c r="F1012" s="2099"/>
      <c r="G1012" s="2101" t="s">
        <v>701</v>
      </c>
      <c r="H1012" s="2099"/>
      <c r="I1012" s="2099"/>
      <c r="J1012" s="2099" t="s">
        <v>931</v>
      </c>
      <c r="K1012" s="2103"/>
      <c r="L1012" s="2104"/>
      <c r="M1012" s="2105">
        <f ca="1">M1009+M1010+M1011</f>
        <v>6619.8329999999996</v>
      </c>
      <c r="N1012" s="2106"/>
      <c r="O1012" s="2106"/>
      <c r="P1012" s="1952"/>
      <c r="Q1012" s="2025"/>
      <c r="R1012" s="2025"/>
      <c r="S1012" s="2025"/>
    </row>
    <row r="1013" spans="1:19" s="474" customFormat="1" ht="15" hidden="1">
      <c r="A1013" s="2099"/>
      <c r="B1013" s="2100"/>
      <c r="C1013" s="2100"/>
      <c r="D1013" s="2100"/>
      <c r="E1013" s="2099"/>
      <c r="F1013" s="2099"/>
      <c r="G1013" s="2101" t="s">
        <v>574</v>
      </c>
      <c r="H1013" s="2099"/>
      <c r="I1013" s="2099"/>
      <c r="J1013" s="2099" t="str">
        <f ca="1">"(T+GT)*"&amp;'THCP xay dung'!F226*100&amp;"%"</f>
        <v>(T+GT)*6%</v>
      </c>
      <c r="K1013" s="2103"/>
      <c r="L1013" s="2104"/>
      <c r="M1013" s="2105">
        <f ca="1">(M1008+M1012)*'THCP xay dung'!F226*100%</f>
        <v>4668.0499799999998</v>
      </c>
      <c r="N1013" s="2106"/>
      <c r="O1013" s="2106"/>
      <c r="P1013" s="1952"/>
      <c r="Q1013" s="2025"/>
      <c r="R1013" s="2025"/>
      <c r="S1013" s="2025"/>
    </row>
    <row r="1014" spans="1:19" s="474" customFormat="1" ht="15" hidden="1">
      <c r="A1014" s="2099"/>
      <c r="B1014" s="2100"/>
      <c r="C1014" s="2100"/>
      <c r="D1014" s="2100"/>
      <c r="E1014" s="2099"/>
      <c r="F1014" s="2099"/>
      <c r="G1014" s="2101" t="s">
        <v>113</v>
      </c>
      <c r="H1014" s="2099"/>
      <c r="I1014" s="2099"/>
      <c r="J1014" s="2099" t="s">
        <v>705</v>
      </c>
      <c r="K1014" s="2103"/>
      <c r="L1014" s="2104"/>
      <c r="M1014" s="2105">
        <f ca="1">M1008+M1012+M1013</f>
        <v>82468.882979999995</v>
      </c>
      <c r="N1014" s="2106"/>
      <c r="O1014" s="2106"/>
      <c r="P1014" s="1952"/>
      <c r="Q1014" s="2025"/>
      <c r="R1014" s="2025"/>
      <c r="S1014" s="2025"/>
    </row>
    <row r="1015" spans="1:19" s="474" customFormat="1" ht="15" hidden="1">
      <c r="A1015" s="2099"/>
      <c r="B1015" s="2100"/>
      <c r="C1015" s="2100"/>
      <c r="D1015" s="2100"/>
      <c r="E1015" s="2099"/>
      <c r="F1015" s="2099"/>
      <c r="G1015" s="2101" t="s">
        <v>575</v>
      </c>
      <c r="H1015" s="2099"/>
      <c r="I1015" s="2099"/>
      <c r="J1015" s="2099" t="str">
        <f>"G*"&amp;'THCP xay dung'!F228*100&amp;"%"</f>
        <v>G*10%</v>
      </c>
      <c r="K1015" s="2103"/>
      <c r="L1015" s="2104"/>
      <c r="M1015" s="2105">
        <f ca="1">M1014*'THCP xay dung'!F228*100%</f>
        <v>8246.8882979999998</v>
      </c>
      <c r="N1015" s="2106"/>
      <c r="O1015" s="2106"/>
      <c r="P1015" s="1952"/>
      <c r="Q1015" s="2025"/>
      <c r="R1015" s="2025"/>
      <c r="S1015" s="2025"/>
    </row>
    <row r="1016" spans="1:19" s="474" customFormat="1" ht="15" hidden="1">
      <c r="A1016" s="2099"/>
      <c r="B1016" s="2100"/>
      <c r="C1016" s="2100"/>
      <c r="D1016" s="2100"/>
      <c r="E1016" s="2099"/>
      <c r="F1016" s="2099"/>
      <c r="G1016" s="2101" t="s">
        <v>117</v>
      </c>
      <c r="H1016" s="2099"/>
      <c r="I1016" s="2099"/>
      <c r="J1016" s="2099" t="s">
        <v>596</v>
      </c>
      <c r="K1016" s="2103"/>
      <c r="L1016" s="2104"/>
      <c r="M1016" s="2105">
        <f ca="1">M1014+M1015</f>
        <v>90715.771278</v>
      </c>
      <c r="N1016" s="2106"/>
      <c r="O1016" s="2106"/>
      <c r="P1016" s="1952"/>
      <c r="Q1016" s="2025"/>
      <c r="R1016" s="2025"/>
      <c r="S1016" s="2025"/>
    </row>
    <row r="1017" spans="1:19" s="474" customFormat="1" ht="15" hidden="1">
      <c r="A1017" s="2099"/>
      <c r="B1017" s="2100"/>
      <c r="C1017" s="2100"/>
      <c r="D1017" s="2100"/>
      <c r="E1017" s="2099"/>
      <c r="F1017" s="2099"/>
      <c r="G1017" s="2101" t="s">
        <v>168</v>
      </c>
      <c r="H1017" s="2099"/>
      <c r="I1017" s="2099"/>
      <c r="J1017" s="2099" t="str">
        <f ca="1">"GXD*"&amp;'THCP xay dung'!F230*100&amp;"%"</f>
        <v>GXD*6%</v>
      </c>
      <c r="K1017" s="2103"/>
      <c r="L1017" s="2104"/>
      <c r="M1017" s="2105">
        <f ca="1">M1016*'THCP xay dung'!F230*100%</f>
        <v>5442.9462766799998</v>
      </c>
      <c r="N1017" s="2106"/>
      <c r="O1017" s="2106"/>
      <c r="P1017" s="1952"/>
      <c r="Q1017" s="2025"/>
      <c r="R1017" s="2025"/>
      <c r="S1017" s="2025"/>
    </row>
    <row r="1018" spans="1:19" s="474" customFormat="1" ht="15" hidden="1">
      <c r="A1018" s="2122" t="s">
        <v>304</v>
      </c>
      <c r="B1018" s="2123"/>
      <c r="C1018" s="2123"/>
      <c r="D1018" s="2123"/>
      <c r="E1018" s="2122"/>
      <c r="F1018" s="2122"/>
      <c r="G1018" s="2109" t="s">
        <v>1837</v>
      </c>
      <c r="H1018" s="2107"/>
      <c r="I1018" s="2107"/>
      <c r="J1018" s="2107" t="s">
        <v>1636</v>
      </c>
      <c r="K1018" s="2110"/>
      <c r="L1018" s="2111"/>
      <c r="M1018" s="2112">
        <f ca="1">M1016+M1017</f>
        <v>96158.717554679999</v>
      </c>
      <c r="N1018" s="2113"/>
      <c r="O1018" s="2113"/>
      <c r="P1018" s="1952"/>
      <c r="Q1018" s="2025"/>
      <c r="R1018" s="2025"/>
      <c r="S1018" s="2025"/>
    </row>
    <row r="1019" spans="1:19" s="474" customFormat="1" ht="15">
      <c r="A1019" s="2159">
        <v>113</v>
      </c>
      <c r="B1019" s="2160">
        <f>'Du toan XD'!B324</f>
        <v>12</v>
      </c>
      <c r="C1019" s="2160"/>
      <c r="D1019" s="2160" t="s">
        <v>1581</v>
      </c>
      <c r="E1019" s="2159" t="s">
        <v>1581</v>
      </c>
      <c r="F1019" s="2159"/>
      <c r="G1019" s="2165" t="e">
        <f>'Du toan XD'!#REF!</f>
        <v>#REF!</v>
      </c>
      <c r="H1019" s="2159" t="str">
        <f>'Du toan XD'!G324</f>
        <v>m</v>
      </c>
      <c r="I1019" s="2159">
        <f>'Du toan XD'!H324</f>
        <v>10</v>
      </c>
      <c r="J1019" s="2161"/>
      <c r="K1019" s="2162"/>
      <c r="L1019" s="2163"/>
      <c r="M1019" s="2162"/>
      <c r="N1019" s="2164"/>
      <c r="O1019" s="2164"/>
      <c r="P1019" s="1952">
        <f>M1020</f>
        <v>19963</v>
      </c>
      <c r="Q1019" s="2025"/>
      <c r="R1019" s="2025">
        <f>M1023</f>
        <v>6398</v>
      </c>
      <c r="S1019" s="2025"/>
    </row>
    <row r="1020" spans="1:19" s="474" customFormat="1" ht="15">
      <c r="A1020" s="2099"/>
      <c r="B1020" s="2100"/>
      <c r="C1020" s="2100"/>
      <c r="D1020" s="2100"/>
      <c r="E1020" s="2099"/>
      <c r="F1020" s="2099"/>
      <c r="G1020" s="2116" t="s">
        <v>224</v>
      </c>
      <c r="H1020" s="2116"/>
      <c r="I1020" s="2116"/>
      <c r="J1020" s="2120"/>
      <c r="K1020" s="2118"/>
      <c r="L1020" s="2119"/>
      <c r="M1020" s="2118">
        <f>ROUND(SUM(M1021:M1022),Config!C103)</f>
        <v>19963</v>
      </c>
      <c r="N1020" s="2106"/>
      <c r="O1020" s="2106"/>
      <c r="P1020" s="1952"/>
      <c r="Q1020" s="2025"/>
      <c r="R1020" s="2025"/>
      <c r="S1020" s="2025"/>
    </row>
    <row r="1021" spans="1:19" s="474" customFormat="1" ht="15">
      <c r="A1021" s="2099"/>
      <c r="B1021" s="2100"/>
      <c r="C1021" s="2100"/>
      <c r="D1021" s="2100"/>
      <c r="E1021" s="2099"/>
      <c r="F1021" s="2099" t="s">
        <v>2022</v>
      </c>
      <c r="G1021" s="2115" t="s">
        <v>2023</v>
      </c>
      <c r="H1021" s="2099" t="s">
        <v>2021</v>
      </c>
      <c r="I1021" s="2099"/>
      <c r="J1021" s="2102">
        <v>1.01</v>
      </c>
      <c r="K1021" s="2171">
        <f>'TH vat tu XD'!G187</f>
        <v>19190</v>
      </c>
      <c r="L1021" s="2104"/>
      <c r="M1021" s="2103">
        <f>IF(L1021=0,J1021*K1021,J1021*K1021*L1021)</f>
        <v>19381.900000000001</v>
      </c>
      <c r="N1021" s="2106">
        <f>IF(L1021=0,I1019*J1021,I1019*J1021*L1021)</f>
        <v>10.1</v>
      </c>
      <c r="O1021" s="2106">
        <f>J1022%*N1021</f>
        <v>0.30299999999999999</v>
      </c>
      <c r="P1021" s="1952"/>
      <c r="Q1021" s="2025"/>
      <c r="R1021" s="2025"/>
      <c r="S1021" s="2025"/>
    </row>
    <row r="1022" spans="1:19" s="474" customFormat="1" ht="15">
      <c r="A1022" s="2099"/>
      <c r="B1022" s="2100"/>
      <c r="C1022" s="2100"/>
      <c r="D1022" s="2100"/>
      <c r="E1022" s="2099"/>
      <c r="F1022" s="2099" t="s">
        <v>1882</v>
      </c>
      <c r="G1022" s="2115" t="s">
        <v>226</v>
      </c>
      <c r="H1022" s="2099" t="s">
        <v>1850</v>
      </c>
      <c r="I1022" s="2099"/>
      <c r="J1022" s="2102">
        <v>3</v>
      </c>
      <c r="K1022" s="2103"/>
      <c r="L1022" s="2104"/>
      <c r="M1022" s="2103">
        <f>SUM(M1021:M1021)*J1022%</f>
        <v>581.45699999999999</v>
      </c>
      <c r="N1022" s="2106"/>
      <c r="O1022" s="2106"/>
      <c r="P1022" s="1952"/>
      <c r="Q1022" s="2025"/>
      <c r="R1022" s="2025"/>
      <c r="S1022" s="2025"/>
    </row>
    <row r="1023" spans="1:19" s="474" customFormat="1" ht="15">
      <c r="A1023" s="2099"/>
      <c r="B1023" s="2100"/>
      <c r="C1023" s="2100"/>
      <c r="D1023" s="2100"/>
      <c r="E1023" s="2099"/>
      <c r="F1023" s="2099"/>
      <c r="G1023" s="2116" t="s">
        <v>225</v>
      </c>
      <c r="H1023" s="2116"/>
      <c r="I1023" s="2116"/>
      <c r="J1023" s="2120"/>
      <c r="K1023" s="2118"/>
      <c r="L1023" s="2119"/>
      <c r="M1023" s="2118">
        <f>ROUND(SUM(M1024:M1024),Config!C103)</f>
        <v>6398</v>
      </c>
      <c r="N1023" s="2106"/>
      <c r="O1023" s="2106"/>
      <c r="P1023" s="1952"/>
      <c r="Q1023" s="2025"/>
      <c r="R1023" s="2025"/>
      <c r="S1023" s="2025"/>
    </row>
    <row r="1024" spans="1:19" s="474" customFormat="1" ht="15">
      <c r="A1024" s="2099"/>
      <c r="B1024" s="2100"/>
      <c r="C1024" s="2100"/>
      <c r="D1024" s="2100"/>
      <c r="E1024" s="2099"/>
      <c r="F1024" s="2099" t="s">
        <v>1866</v>
      </c>
      <c r="G1024" s="2115" t="s">
        <v>1867</v>
      </c>
      <c r="H1024" s="2099" t="s">
        <v>1833</v>
      </c>
      <c r="I1024" s="2099"/>
      <c r="J1024" s="2102">
        <v>2.8000000000000001E-2</v>
      </c>
      <c r="K1024" s="2171">
        <f>'TH vat tu XD'!G196</f>
        <v>228500</v>
      </c>
      <c r="L1024" s="2104"/>
      <c r="M1024" s="2103">
        <f>IF(L1024=0,J1024*K1024,J1024*K1024*L1024)</f>
        <v>6398</v>
      </c>
      <c r="N1024" s="2106">
        <f>IF(L1024=0,I1019*J1024,I1019*J1024*L1024)</f>
        <v>0.28000000000000003</v>
      </c>
      <c r="O1024" s="2106"/>
      <c r="P1024" s="1952"/>
      <c r="Q1024" s="2025"/>
      <c r="R1024" s="2025"/>
      <c r="S1024" s="2025"/>
    </row>
    <row r="1025" spans="1:19" s="474" customFormat="1" ht="15" hidden="1">
      <c r="A1025" s="2099"/>
      <c r="B1025" s="2100"/>
      <c r="C1025" s="2100"/>
      <c r="D1025" s="2100"/>
      <c r="E1025" s="2099"/>
      <c r="F1025" s="2099"/>
      <c r="G1025" s="2101" t="s">
        <v>109</v>
      </c>
      <c r="H1025" s="2099"/>
      <c r="I1025" s="2099"/>
      <c r="J1025" s="2099" t="s">
        <v>333</v>
      </c>
      <c r="K1025" s="2103"/>
      <c r="L1025" s="2104"/>
      <c r="M1025" s="2105">
        <f>M1020+M1023+0</f>
        <v>26361</v>
      </c>
      <c r="N1025" s="2106"/>
      <c r="O1025" s="2106"/>
      <c r="P1025" s="1952"/>
      <c r="Q1025" s="2025"/>
      <c r="R1025" s="2025"/>
      <c r="S1025" s="2025"/>
    </row>
    <row r="1026" spans="1:19" s="474" customFormat="1" ht="15" hidden="1">
      <c r="A1026" s="2099"/>
      <c r="B1026" s="2100"/>
      <c r="C1026" s="2100"/>
      <c r="D1026" s="2100"/>
      <c r="E1026" s="2099"/>
      <c r="F1026" s="2099"/>
      <c r="G1026" s="2101" t="s">
        <v>378</v>
      </c>
      <c r="H1026" s="2099"/>
      <c r="I1026" s="2099"/>
      <c r="J1026" s="2099" t="str">
        <f ca="1">"T*"&amp;'THCP xay dung'!F222*100&amp;"%"</f>
        <v>T*6,2%</v>
      </c>
      <c r="K1026" s="2103"/>
      <c r="L1026" s="2104"/>
      <c r="M1026" s="2105">
        <f ca="1">M1025*'THCP xay dung'!F222*100%</f>
        <v>1634.3820000000001</v>
      </c>
      <c r="N1026" s="2106"/>
      <c r="O1026" s="2106"/>
      <c r="P1026" s="1952"/>
      <c r="Q1026" s="2025"/>
      <c r="R1026" s="2025"/>
      <c r="S1026" s="2025"/>
    </row>
    <row r="1027" spans="1:19" s="474" customFormat="1" ht="28.5" hidden="1">
      <c r="A1027" s="2099"/>
      <c r="B1027" s="2100"/>
      <c r="C1027" s="2100"/>
      <c r="D1027" s="2100"/>
      <c r="E1027" s="2099"/>
      <c r="F1027" s="2099"/>
      <c r="G1027" s="2101" t="s">
        <v>702</v>
      </c>
      <c r="H1027" s="2099"/>
      <c r="I1027" s="2099"/>
      <c r="J1027" s="2099" t="str">
        <f>IF('THCP xay dung'!G223&lt;&gt;1,"T*"&amp;'THCP xay dung'!F223*100&amp;"%"&amp;"*"&amp;'THCP xay dung'!G223,"T*"&amp;'THCP xay dung'!F223*100&amp;"%")</f>
        <v>T*1,1%</v>
      </c>
      <c r="K1027" s="2103"/>
      <c r="L1027" s="2104"/>
      <c r="M1027" s="2105">
        <f>IF('THCP xay dung'!G223&lt;&gt;1,M1025*'THCP xay dung'!F223*100%*'THCP xay dung'!G223,M1025*'THCP xay dung'!F223*100%)</f>
        <v>289.971</v>
      </c>
      <c r="N1027" s="2106"/>
      <c r="O1027" s="2106"/>
      <c r="P1027" s="1952"/>
      <c r="Q1027" s="2025"/>
      <c r="R1027" s="2025"/>
      <c r="S1027" s="2025"/>
    </row>
    <row r="1028" spans="1:19" s="474" customFormat="1" ht="42.75" hidden="1">
      <c r="A1028" s="2099"/>
      <c r="B1028" s="2100"/>
      <c r="C1028" s="2100"/>
      <c r="D1028" s="2100"/>
      <c r="E1028" s="2099"/>
      <c r="F1028" s="2099"/>
      <c r="G1028" s="2101" t="s">
        <v>703</v>
      </c>
      <c r="H1028" s="2099"/>
      <c r="I1028" s="2099"/>
      <c r="J1028" s="2099" t="str">
        <f ca="1">"T*"&amp;'THCP xay dung'!F224*100&amp;"%"</f>
        <v>T*2%</v>
      </c>
      <c r="K1028" s="2103"/>
      <c r="L1028" s="2104"/>
      <c r="M1028" s="2105">
        <f ca="1">M1025*'THCP xay dung'!F224*100%</f>
        <v>527.22</v>
      </c>
      <c r="N1028" s="2106"/>
      <c r="O1028" s="2106"/>
      <c r="P1028" s="1952"/>
      <c r="Q1028" s="2025"/>
      <c r="R1028" s="2025"/>
      <c r="S1028" s="2025"/>
    </row>
    <row r="1029" spans="1:19" s="474" customFormat="1" ht="15" hidden="1">
      <c r="A1029" s="2099"/>
      <c r="B1029" s="2100"/>
      <c r="C1029" s="2100"/>
      <c r="D1029" s="2100"/>
      <c r="E1029" s="2099"/>
      <c r="F1029" s="2099"/>
      <c r="G1029" s="2101" t="s">
        <v>701</v>
      </c>
      <c r="H1029" s="2099"/>
      <c r="I1029" s="2099"/>
      <c r="J1029" s="2099" t="s">
        <v>931</v>
      </c>
      <c r="K1029" s="2103"/>
      <c r="L1029" s="2104"/>
      <c r="M1029" s="2105">
        <f ca="1">M1026+M1027+M1028</f>
        <v>2451.5730000000003</v>
      </c>
      <c r="N1029" s="2106"/>
      <c r="O1029" s="2106"/>
      <c r="P1029" s="1952"/>
      <c r="Q1029" s="2025"/>
      <c r="R1029" s="2025"/>
      <c r="S1029" s="2025"/>
    </row>
    <row r="1030" spans="1:19" s="474" customFormat="1" ht="15" hidden="1">
      <c r="A1030" s="2099"/>
      <c r="B1030" s="2100"/>
      <c r="C1030" s="2100"/>
      <c r="D1030" s="2100"/>
      <c r="E1030" s="2099"/>
      <c r="F1030" s="2099"/>
      <c r="G1030" s="2101" t="s">
        <v>574</v>
      </c>
      <c r="H1030" s="2099"/>
      <c r="I1030" s="2099"/>
      <c r="J1030" s="2099" t="str">
        <f ca="1">"(T+GT)*"&amp;'THCP xay dung'!F226*100&amp;"%"</f>
        <v>(T+GT)*6%</v>
      </c>
      <c r="K1030" s="2103"/>
      <c r="L1030" s="2104"/>
      <c r="M1030" s="2105">
        <f ca="1">(M1025+M1029)*'THCP xay dung'!F226*100%</f>
        <v>1728.7543799999999</v>
      </c>
      <c r="N1030" s="2106"/>
      <c r="O1030" s="2106"/>
      <c r="P1030" s="1952"/>
      <c r="Q1030" s="2025"/>
      <c r="R1030" s="2025"/>
      <c r="S1030" s="2025"/>
    </row>
    <row r="1031" spans="1:19" s="474" customFormat="1" ht="15" hidden="1">
      <c r="A1031" s="2099"/>
      <c r="B1031" s="2100"/>
      <c r="C1031" s="2100"/>
      <c r="D1031" s="2100"/>
      <c r="E1031" s="2099"/>
      <c r="F1031" s="2099"/>
      <c r="G1031" s="2101" t="s">
        <v>113</v>
      </c>
      <c r="H1031" s="2099"/>
      <c r="I1031" s="2099"/>
      <c r="J1031" s="2099" t="s">
        <v>705</v>
      </c>
      <c r="K1031" s="2103"/>
      <c r="L1031" s="2104"/>
      <c r="M1031" s="2105">
        <f ca="1">M1025+M1029+M1030</f>
        <v>30541.327379999999</v>
      </c>
      <c r="N1031" s="2106"/>
      <c r="O1031" s="2106"/>
      <c r="P1031" s="1952"/>
      <c r="Q1031" s="2025"/>
      <c r="R1031" s="2025"/>
      <c r="S1031" s="2025"/>
    </row>
    <row r="1032" spans="1:19" s="474" customFormat="1" ht="15" hidden="1">
      <c r="A1032" s="2099"/>
      <c r="B1032" s="2100"/>
      <c r="C1032" s="2100"/>
      <c r="D1032" s="2100"/>
      <c r="E1032" s="2099"/>
      <c r="F1032" s="2099"/>
      <c r="G1032" s="2101" t="s">
        <v>575</v>
      </c>
      <c r="H1032" s="2099"/>
      <c r="I1032" s="2099"/>
      <c r="J1032" s="2099" t="str">
        <f>"G*"&amp;'THCP xay dung'!F228*100&amp;"%"</f>
        <v>G*10%</v>
      </c>
      <c r="K1032" s="2103"/>
      <c r="L1032" s="2104"/>
      <c r="M1032" s="2105">
        <f ca="1">M1031*'THCP xay dung'!F228*100%</f>
        <v>3054.1327380000002</v>
      </c>
      <c r="N1032" s="2106"/>
      <c r="O1032" s="2106"/>
      <c r="P1032" s="1952"/>
      <c r="Q1032" s="2025"/>
      <c r="R1032" s="2025"/>
      <c r="S1032" s="2025"/>
    </row>
    <row r="1033" spans="1:19" s="474" customFormat="1" ht="15" hidden="1">
      <c r="A1033" s="2099"/>
      <c r="B1033" s="2100"/>
      <c r="C1033" s="2100"/>
      <c r="D1033" s="2100"/>
      <c r="E1033" s="2099"/>
      <c r="F1033" s="2099"/>
      <c r="G1033" s="2101" t="s">
        <v>117</v>
      </c>
      <c r="H1033" s="2099"/>
      <c r="I1033" s="2099"/>
      <c r="J1033" s="2099" t="s">
        <v>596</v>
      </c>
      <c r="K1033" s="2103"/>
      <c r="L1033" s="2104"/>
      <c r="M1033" s="2105">
        <f ca="1">M1031+M1032</f>
        <v>33595.460118000003</v>
      </c>
      <c r="N1033" s="2106"/>
      <c r="O1033" s="2106"/>
      <c r="P1033" s="1952"/>
      <c r="Q1033" s="2025"/>
      <c r="R1033" s="2025"/>
      <c r="S1033" s="2025"/>
    </row>
    <row r="1034" spans="1:19" s="474" customFormat="1" ht="15" hidden="1">
      <c r="A1034" s="2099"/>
      <c r="B1034" s="2100"/>
      <c r="C1034" s="2100"/>
      <c r="D1034" s="2100"/>
      <c r="E1034" s="2099"/>
      <c r="F1034" s="2099"/>
      <c r="G1034" s="2101" t="s">
        <v>168</v>
      </c>
      <c r="H1034" s="2099"/>
      <c r="I1034" s="2099"/>
      <c r="J1034" s="2099" t="str">
        <f ca="1">"GXD*"&amp;'THCP xay dung'!F230*100&amp;"%"</f>
        <v>GXD*6%</v>
      </c>
      <c r="K1034" s="2103"/>
      <c r="L1034" s="2104"/>
      <c r="M1034" s="2105">
        <f ca="1">M1033*'THCP xay dung'!F230*100%</f>
        <v>2015.7276070800001</v>
      </c>
      <c r="N1034" s="2106"/>
      <c r="O1034" s="2106"/>
      <c r="P1034" s="1952"/>
      <c r="Q1034" s="2025"/>
      <c r="R1034" s="2025"/>
      <c r="S1034" s="2025"/>
    </row>
    <row r="1035" spans="1:19" s="474" customFormat="1" ht="15" hidden="1">
      <c r="A1035" s="2122" t="s">
        <v>304</v>
      </c>
      <c r="B1035" s="2123"/>
      <c r="C1035" s="2123"/>
      <c r="D1035" s="2123"/>
      <c r="E1035" s="2122"/>
      <c r="F1035" s="2122"/>
      <c r="G1035" s="2109" t="s">
        <v>1837</v>
      </c>
      <c r="H1035" s="2107"/>
      <c r="I1035" s="2107"/>
      <c r="J1035" s="2107" t="s">
        <v>1636</v>
      </c>
      <c r="K1035" s="2110"/>
      <c r="L1035" s="2111"/>
      <c r="M1035" s="2112">
        <f ca="1">M1033+M1034</f>
        <v>35611.187725080003</v>
      </c>
      <c r="N1035" s="2113"/>
      <c r="O1035" s="2113"/>
      <c r="P1035" s="1952"/>
      <c r="Q1035" s="2025"/>
      <c r="R1035" s="2025"/>
      <c r="S1035" s="2025"/>
    </row>
    <row r="1036" spans="1:19" s="474" customFormat="1" ht="15">
      <c r="A1036" s="2159">
        <v>114</v>
      </c>
      <c r="B1036" s="2160">
        <f>'Du toan XD'!B325</f>
        <v>13</v>
      </c>
      <c r="C1036" s="2160"/>
      <c r="D1036" s="2160" t="s">
        <v>1582</v>
      </c>
      <c r="E1036" s="2159" t="s">
        <v>1582</v>
      </c>
      <c r="F1036" s="2159"/>
      <c r="G1036" s="2165" t="str">
        <f>'Du toan XD'!F325</f>
        <v>Dây tiếp địa CU/PVC(1x4)mm2</v>
      </c>
      <c r="H1036" s="2159" t="str">
        <f>'Du toan XD'!G325</f>
        <v>m</v>
      </c>
      <c r="I1036" s="2159">
        <f>'Du toan XD'!H325</f>
        <v>10</v>
      </c>
      <c r="J1036" s="2161"/>
      <c r="K1036" s="2162"/>
      <c r="L1036" s="2163"/>
      <c r="M1036" s="2162"/>
      <c r="N1036" s="2164"/>
      <c r="O1036" s="2164"/>
      <c r="P1036" s="1952">
        <f>M1037</f>
        <v>19009</v>
      </c>
      <c r="Q1036" s="2025"/>
      <c r="R1036" s="2025">
        <f>M1040</f>
        <v>6170</v>
      </c>
      <c r="S1036" s="2025"/>
    </row>
    <row r="1037" spans="1:19" s="474" customFormat="1" ht="15">
      <c r="A1037" s="2099"/>
      <c r="B1037" s="2100"/>
      <c r="C1037" s="2100"/>
      <c r="D1037" s="2100"/>
      <c r="E1037" s="2099"/>
      <c r="F1037" s="2099"/>
      <c r="G1037" s="2116" t="s">
        <v>224</v>
      </c>
      <c r="H1037" s="2116"/>
      <c r="I1037" s="2116"/>
      <c r="J1037" s="2120"/>
      <c r="K1037" s="2118"/>
      <c r="L1037" s="2119"/>
      <c r="M1037" s="2118">
        <f>ROUND(SUM(M1038:M1039),Config!C103)</f>
        <v>19009</v>
      </c>
      <c r="N1037" s="2106"/>
      <c r="O1037" s="2106"/>
      <c r="P1037" s="1952"/>
      <c r="Q1037" s="2025"/>
      <c r="R1037" s="2025"/>
      <c r="S1037" s="2025"/>
    </row>
    <row r="1038" spans="1:19" s="474" customFormat="1" ht="15">
      <c r="A1038" s="2099"/>
      <c r="B1038" s="2100"/>
      <c r="C1038" s="2100"/>
      <c r="D1038" s="2100"/>
      <c r="E1038" s="2099"/>
      <c r="F1038" s="2099" t="s">
        <v>2024</v>
      </c>
      <c r="G1038" s="2115" t="s">
        <v>2025</v>
      </c>
      <c r="H1038" s="2099" t="s">
        <v>2021</v>
      </c>
      <c r="I1038" s="2099"/>
      <c r="J1038" s="2102">
        <v>1.01</v>
      </c>
      <c r="K1038" s="2171">
        <f>'TH vat tu XD'!G189</f>
        <v>18273</v>
      </c>
      <c r="L1038" s="2104"/>
      <c r="M1038" s="2103">
        <f>IF(L1038=0,J1038*K1038,J1038*K1038*L1038)</f>
        <v>18455.73</v>
      </c>
      <c r="N1038" s="2106">
        <f>IF(L1038=0,I1036*J1038,I1036*J1038*L1038)</f>
        <v>10.1</v>
      </c>
      <c r="O1038" s="2106">
        <f>J1039%*N1038</f>
        <v>0.30299999999999999</v>
      </c>
      <c r="P1038" s="1952"/>
      <c r="Q1038" s="2025"/>
      <c r="R1038" s="2025"/>
      <c r="S1038" s="2025"/>
    </row>
    <row r="1039" spans="1:19" s="474" customFormat="1" ht="15">
      <c r="A1039" s="2099"/>
      <c r="B1039" s="2100"/>
      <c r="C1039" s="2100"/>
      <c r="D1039" s="2100"/>
      <c r="E1039" s="2099"/>
      <c r="F1039" s="2099" t="s">
        <v>1882</v>
      </c>
      <c r="G1039" s="2115" t="s">
        <v>226</v>
      </c>
      <c r="H1039" s="2099" t="s">
        <v>1850</v>
      </c>
      <c r="I1039" s="2099"/>
      <c r="J1039" s="2102">
        <v>3</v>
      </c>
      <c r="K1039" s="2103"/>
      <c r="L1039" s="2104"/>
      <c r="M1039" s="2103">
        <f>SUM(M1038:M1038)*J1039%</f>
        <v>553.67189999999994</v>
      </c>
      <c r="N1039" s="2106"/>
      <c r="O1039" s="2106"/>
      <c r="P1039" s="1952"/>
      <c r="Q1039" s="2025"/>
      <c r="R1039" s="2025"/>
      <c r="S1039" s="2025"/>
    </row>
    <row r="1040" spans="1:19" s="474" customFormat="1" ht="15">
      <c r="A1040" s="2099"/>
      <c r="B1040" s="2100"/>
      <c r="C1040" s="2100"/>
      <c r="D1040" s="2100"/>
      <c r="E1040" s="2099"/>
      <c r="F1040" s="2099"/>
      <c r="G1040" s="2116" t="s">
        <v>225</v>
      </c>
      <c r="H1040" s="2116"/>
      <c r="I1040" s="2116"/>
      <c r="J1040" s="2120"/>
      <c r="K1040" s="2118"/>
      <c r="L1040" s="2119"/>
      <c r="M1040" s="2118">
        <f>ROUND(SUM(M1041:M1041),Config!C103)</f>
        <v>6170</v>
      </c>
      <c r="N1040" s="2106"/>
      <c r="O1040" s="2106"/>
      <c r="P1040" s="1952"/>
      <c r="Q1040" s="2025"/>
      <c r="R1040" s="2025"/>
      <c r="S1040" s="2025"/>
    </row>
    <row r="1041" spans="1:19" s="474" customFormat="1" ht="15">
      <c r="A1041" s="2099"/>
      <c r="B1041" s="2100"/>
      <c r="C1041" s="2100"/>
      <c r="D1041" s="2100"/>
      <c r="E1041" s="2099"/>
      <c r="F1041" s="2099" t="s">
        <v>1866</v>
      </c>
      <c r="G1041" s="2115" t="s">
        <v>1867</v>
      </c>
      <c r="H1041" s="2099" t="s">
        <v>1833</v>
      </c>
      <c r="I1041" s="2099"/>
      <c r="J1041" s="2102">
        <v>2.7E-2</v>
      </c>
      <c r="K1041" s="2171">
        <f>'TH vat tu XD'!G196</f>
        <v>228500</v>
      </c>
      <c r="L1041" s="2104"/>
      <c r="M1041" s="2103">
        <f>IF(L1041=0,J1041*K1041,J1041*K1041*L1041)</f>
        <v>6169.5</v>
      </c>
      <c r="N1041" s="2106">
        <f>IF(L1041=0,I1036*J1041,I1036*J1041*L1041)</f>
        <v>0.27</v>
      </c>
      <c r="O1041" s="2106"/>
      <c r="P1041" s="1952"/>
      <c r="Q1041" s="2025"/>
      <c r="R1041" s="2025"/>
      <c r="S1041" s="2025"/>
    </row>
    <row r="1042" spans="1:19" s="474" customFormat="1" ht="15" hidden="1">
      <c r="A1042" s="2099"/>
      <c r="B1042" s="2100"/>
      <c r="C1042" s="2100"/>
      <c r="D1042" s="2100"/>
      <c r="E1042" s="2099"/>
      <c r="F1042" s="2099"/>
      <c r="G1042" s="2101" t="s">
        <v>109</v>
      </c>
      <c r="H1042" s="2099"/>
      <c r="I1042" s="2099"/>
      <c r="J1042" s="2099" t="s">
        <v>333</v>
      </c>
      <c r="K1042" s="2103"/>
      <c r="L1042" s="2104"/>
      <c r="M1042" s="2105">
        <f>M1037+M1040+0</f>
        <v>25179</v>
      </c>
      <c r="N1042" s="2106"/>
      <c r="O1042" s="2106"/>
      <c r="P1042" s="1952"/>
      <c r="Q1042" s="2025"/>
      <c r="R1042" s="2025"/>
      <c r="S1042" s="2025"/>
    </row>
    <row r="1043" spans="1:19" s="474" customFormat="1" ht="15" hidden="1">
      <c r="A1043" s="2099"/>
      <c r="B1043" s="2100"/>
      <c r="C1043" s="2100"/>
      <c r="D1043" s="2100"/>
      <c r="E1043" s="2099"/>
      <c r="F1043" s="2099"/>
      <c r="G1043" s="2101" t="s">
        <v>378</v>
      </c>
      <c r="H1043" s="2099"/>
      <c r="I1043" s="2099"/>
      <c r="J1043" s="2099" t="str">
        <f ca="1">"T*"&amp;'THCP xay dung'!F222*100&amp;"%"</f>
        <v>T*6,2%</v>
      </c>
      <c r="K1043" s="2103"/>
      <c r="L1043" s="2104"/>
      <c r="M1043" s="2105">
        <f ca="1">M1042*'THCP xay dung'!F222*100%</f>
        <v>1561.098</v>
      </c>
      <c r="N1043" s="2106"/>
      <c r="O1043" s="2106"/>
      <c r="P1043" s="1952"/>
      <c r="Q1043" s="2025"/>
      <c r="R1043" s="2025"/>
      <c r="S1043" s="2025"/>
    </row>
    <row r="1044" spans="1:19" s="474" customFormat="1" ht="28.5" hidden="1">
      <c r="A1044" s="2099"/>
      <c r="B1044" s="2100"/>
      <c r="C1044" s="2100"/>
      <c r="D1044" s="2100"/>
      <c r="E1044" s="2099"/>
      <c r="F1044" s="2099"/>
      <c r="G1044" s="2101" t="s">
        <v>702</v>
      </c>
      <c r="H1044" s="2099"/>
      <c r="I1044" s="2099"/>
      <c r="J1044" s="2099" t="str">
        <f>IF('THCP xay dung'!G223&lt;&gt;1,"T*"&amp;'THCP xay dung'!F223*100&amp;"%"&amp;"*"&amp;'THCP xay dung'!G223,"T*"&amp;'THCP xay dung'!F223*100&amp;"%")</f>
        <v>T*1,1%</v>
      </c>
      <c r="K1044" s="2103"/>
      <c r="L1044" s="2104"/>
      <c r="M1044" s="2105">
        <f>IF('THCP xay dung'!G223&lt;&gt;1,M1042*'THCP xay dung'!F223*100%*'THCP xay dung'!G223,M1042*'THCP xay dung'!F223*100%)</f>
        <v>276.96900000000005</v>
      </c>
      <c r="N1044" s="2106"/>
      <c r="O1044" s="2106"/>
      <c r="P1044" s="1952"/>
      <c r="Q1044" s="2025"/>
      <c r="R1044" s="2025"/>
      <c r="S1044" s="2025"/>
    </row>
    <row r="1045" spans="1:19" s="474" customFormat="1" ht="42.75" hidden="1">
      <c r="A1045" s="2099"/>
      <c r="B1045" s="2100"/>
      <c r="C1045" s="2100"/>
      <c r="D1045" s="2100"/>
      <c r="E1045" s="2099"/>
      <c r="F1045" s="2099"/>
      <c r="G1045" s="2101" t="s">
        <v>703</v>
      </c>
      <c r="H1045" s="2099"/>
      <c r="I1045" s="2099"/>
      <c r="J1045" s="2099" t="str">
        <f ca="1">"T*"&amp;'THCP xay dung'!F224*100&amp;"%"</f>
        <v>T*2%</v>
      </c>
      <c r="K1045" s="2103"/>
      <c r="L1045" s="2104"/>
      <c r="M1045" s="2105">
        <f ca="1">M1042*'THCP xay dung'!F224*100%</f>
        <v>503.58</v>
      </c>
      <c r="N1045" s="2106"/>
      <c r="O1045" s="2106"/>
      <c r="P1045" s="1952"/>
      <c r="Q1045" s="2025"/>
      <c r="R1045" s="2025"/>
      <c r="S1045" s="2025"/>
    </row>
    <row r="1046" spans="1:19" s="474" customFormat="1" ht="15" hidden="1">
      <c r="A1046" s="2099"/>
      <c r="B1046" s="2100"/>
      <c r="C1046" s="2100"/>
      <c r="D1046" s="2100"/>
      <c r="E1046" s="2099"/>
      <c r="F1046" s="2099"/>
      <c r="G1046" s="2101" t="s">
        <v>701</v>
      </c>
      <c r="H1046" s="2099"/>
      <c r="I1046" s="2099"/>
      <c r="J1046" s="2099" t="s">
        <v>931</v>
      </c>
      <c r="K1046" s="2103"/>
      <c r="L1046" s="2104"/>
      <c r="M1046" s="2105">
        <f ca="1">M1043+M1044+M1045</f>
        <v>2341.6469999999999</v>
      </c>
      <c r="N1046" s="2106"/>
      <c r="O1046" s="2106"/>
      <c r="P1046" s="1952"/>
      <c r="Q1046" s="2025"/>
      <c r="R1046" s="2025"/>
      <c r="S1046" s="2025"/>
    </row>
    <row r="1047" spans="1:19" s="474" customFormat="1" ht="15" hidden="1">
      <c r="A1047" s="2099"/>
      <c r="B1047" s="2100"/>
      <c r="C1047" s="2100"/>
      <c r="D1047" s="2100"/>
      <c r="E1047" s="2099"/>
      <c r="F1047" s="2099"/>
      <c r="G1047" s="2101" t="s">
        <v>574</v>
      </c>
      <c r="H1047" s="2099"/>
      <c r="I1047" s="2099"/>
      <c r="J1047" s="2099" t="str">
        <f ca="1">"(T+GT)*"&amp;'THCP xay dung'!F226*100&amp;"%"</f>
        <v>(T+GT)*6%</v>
      </c>
      <c r="K1047" s="2103"/>
      <c r="L1047" s="2104"/>
      <c r="M1047" s="2105">
        <f ca="1">(M1042+M1046)*'THCP xay dung'!F226*100%</f>
        <v>1651.23882</v>
      </c>
      <c r="N1047" s="2106"/>
      <c r="O1047" s="2106"/>
      <c r="P1047" s="1952"/>
      <c r="Q1047" s="2025"/>
      <c r="R1047" s="2025"/>
      <c r="S1047" s="2025"/>
    </row>
    <row r="1048" spans="1:19" s="474" customFormat="1" ht="15" hidden="1">
      <c r="A1048" s="2099"/>
      <c r="B1048" s="2100"/>
      <c r="C1048" s="2100"/>
      <c r="D1048" s="2100"/>
      <c r="E1048" s="2099"/>
      <c r="F1048" s="2099"/>
      <c r="G1048" s="2101" t="s">
        <v>113</v>
      </c>
      <c r="H1048" s="2099"/>
      <c r="I1048" s="2099"/>
      <c r="J1048" s="2099" t="s">
        <v>705</v>
      </c>
      <c r="K1048" s="2103"/>
      <c r="L1048" s="2104"/>
      <c r="M1048" s="2105">
        <f ca="1">M1042+M1046+M1047</f>
        <v>29171.88582</v>
      </c>
      <c r="N1048" s="2106"/>
      <c r="O1048" s="2106"/>
      <c r="P1048" s="1952"/>
      <c r="Q1048" s="2025"/>
      <c r="R1048" s="2025"/>
      <c r="S1048" s="2025"/>
    </row>
    <row r="1049" spans="1:19" s="474" customFormat="1" ht="15" hidden="1">
      <c r="A1049" s="2099"/>
      <c r="B1049" s="2100"/>
      <c r="C1049" s="2100"/>
      <c r="D1049" s="2100"/>
      <c r="E1049" s="2099"/>
      <c r="F1049" s="2099"/>
      <c r="G1049" s="2101" t="s">
        <v>575</v>
      </c>
      <c r="H1049" s="2099"/>
      <c r="I1049" s="2099"/>
      <c r="J1049" s="2099" t="str">
        <f>"G*"&amp;'THCP xay dung'!F228*100&amp;"%"</f>
        <v>G*10%</v>
      </c>
      <c r="K1049" s="2103"/>
      <c r="L1049" s="2104"/>
      <c r="M1049" s="2105">
        <f ca="1">M1048*'THCP xay dung'!F228*100%</f>
        <v>2917.1885820000002</v>
      </c>
      <c r="N1049" s="2106"/>
      <c r="O1049" s="2106"/>
      <c r="P1049" s="1952"/>
      <c r="Q1049" s="2025"/>
      <c r="R1049" s="2025"/>
      <c r="S1049" s="2025"/>
    </row>
    <row r="1050" spans="1:19" s="474" customFormat="1" ht="15" hidden="1">
      <c r="A1050" s="2099"/>
      <c r="B1050" s="2100"/>
      <c r="C1050" s="2100"/>
      <c r="D1050" s="2100"/>
      <c r="E1050" s="2099"/>
      <c r="F1050" s="2099"/>
      <c r="G1050" s="2101" t="s">
        <v>117</v>
      </c>
      <c r="H1050" s="2099"/>
      <c r="I1050" s="2099"/>
      <c r="J1050" s="2099" t="s">
        <v>596</v>
      </c>
      <c r="K1050" s="2103"/>
      <c r="L1050" s="2104"/>
      <c r="M1050" s="2105">
        <f ca="1">M1048+M1049</f>
        <v>32089.074401999998</v>
      </c>
      <c r="N1050" s="2106"/>
      <c r="O1050" s="2106"/>
      <c r="P1050" s="1952"/>
      <c r="Q1050" s="2025"/>
      <c r="R1050" s="2025"/>
      <c r="S1050" s="2025"/>
    </row>
    <row r="1051" spans="1:19" s="474" customFormat="1" ht="15" hidden="1">
      <c r="A1051" s="2099"/>
      <c r="B1051" s="2100"/>
      <c r="C1051" s="2100"/>
      <c r="D1051" s="2100"/>
      <c r="E1051" s="2099"/>
      <c r="F1051" s="2099"/>
      <c r="G1051" s="2101" t="s">
        <v>168</v>
      </c>
      <c r="H1051" s="2099"/>
      <c r="I1051" s="2099"/>
      <c r="J1051" s="2099" t="str">
        <f ca="1">"GXD*"&amp;'THCP xay dung'!F230*100&amp;"%"</f>
        <v>GXD*6%</v>
      </c>
      <c r="K1051" s="2103"/>
      <c r="L1051" s="2104"/>
      <c r="M1051" s="2105">
        <f ca="1">M1050*'THCP xay dung'!F230*100%</f>
        <v>1925.3444641199999</v>
      </c>
      <c r="N1051" s="2106"/>
      <c r="O1051" s="2106"/>
      <c r="P1051" s="1952"/>
      <c r="Q1051" s="2025"/>
      <c r="R1051" s="2025"/>
      <c r="S1051" s="2025"/>
    </row>
    <row r="1052" spans="1:19" s="474" customFormat="1" ht="15" hidden="1">
      <c r="A1052" s="2122" t="s">
        <v>304</v>
      </c>
      <c r="B1052" s="2123"/>
      <c r="C1052" s="2123"/>
      <c r="D1052" s="2123"/>
      <c r="E1052" s="2122"/>
      <c r="F1052" s="2122"/>
      <c r="G1052" s="2109" t="s">
        <v>1837</v>
      </c>
      <c r="H1052" s="2107"/>
      <c r="I1052" s="2107"/>
      <c r="J1052" s="2107" t="s">
        <v>1636</v>
      </c>
      <c r="K1052" s="2110"/>
      <c r="L1052" s="2111"/>
      <c r="M1052" s="2112">
        <f ca="1">M1050+M1051</f>
        <v>34014.418866119995</v>
      </c>
      <c r="N1052" s="2113"/>
      <c r="O1052" s="2113"/>
      <c r="P1052" s="1952"/>
      <c r="Q1052" s="2025"/>
      <c r="R1052" s="2025"/>
      <c r="S1052" s="2025"/>
    </row>
    <row r="1053" spans="1:19" s="474" customFormat="1" ht="15">
      <c r="A1053" s="2159">
        <v>115</v>
      </c>
      <c r="B1053" s="2160">
        <f>'Du toan XD'!B326</f>
        <v>14</v>
      </c>
      <c r="C1053" s="2160"/>
      <c r="D1053" s="2160" t="s">
        <v>1583</v>
      </c>
      <c r="E1053" s="2159" t="s">
        <v>1583</v>
      </c>
      <c r="F1053" s="2159"/>
      <c r="G1053" s="2165" t="str">
        <f>'Du toan XD'!F326</f>
        <v>Dây CU/PVC (1x2,5)mm2</v>
      </c>
      <c r="H1053" s="2159" t="str">
        <f>'Du toan XD'!G326</f>
        <v>m</v>
      </c>
      <c r="I1053" s="2159">
        <f>'Du toan XD'!H326</f>
        <v>140</v>
      </c>
      <c r="J1053" s="2161"/>
      <c r="K1053" s="2162"/>
      <c r="L1053" s="2163"/>
      <c r="M1053" s="2162"/>
      <c r="N1053" s="2164"/>
      <c r="O1053" s="2164"/>
      <c r="P1053" s="1952">
        <f>M1054</f>
        <v>8350</v>
      </c>
      <c r="Q1053" s="2025"/>
      <c r="R1053" s="2025">
        <f>M1057</f>
        <v>5484</v>
      </c>
      <c r="S1053" s="2025"/>
    </row>
    <row r="1054" spans="1:19" s="474" customFormat="1" ht="15">
      <c r="A1054" s="2099"/>
      <c r="B1054" s="2100"/>
      <c r="C1054" s="2100"/>
      <c r="D1054" s="2100"/>
      <c r="E1054" s="2099"/>
      <c r="F1054" s="2099"/>
      <c r="G1054" s="2116" t="s">
        <v>224</v>
      </c>
      <c r="H1054" s="2116"/>
      <c r="I1054" s="2116"/>
      <c r="J1054" s="2120"/>
      <c r="K1054" s="2118"/>
      <c r="L1054" s="2119"/>
      <c r="M1054" s="2118">
        <f>ROUND(SUM(M1055:M1056),Config!C103)</f>
        <v>8350</v>
      </c>
      <c r="N1054" s="2106"/>
      <c r="O1054" s="2106"/>
      <c r="P1054" s="1952"/>
      <c r="Q1054" s="2025"/>
      <c r="R1054" s="2025"/>
      <c r="S1054" s="2025"/>
    </row>
    <row r="1055" spans="1:19" s="474" customFormat="1" ht="15">
      <c r="A1055" s="2099"/>
      <c r="B1055" s="2100"/>
      <c r="C1055" s="2100"/>
      <c r="D1055" s="2100"/>
      <c r="E1055" s="2099"/>
      <c r="F1055" s="2099" t="s">
        <v>2026</v>
      </c>
      <c r="G1055" s="2115" t="s">
        <v>2027</v>
      </c>
      <c r="H1055" s="2099" t="s">
        <v>2021</v>
      </c>
      <c r="I1055" s="2099"/>
      <c r="J1055" s="2102">
        <v>1.01</v>
      </c>
      <c r="K1055" s="2171">
        <f>'TH vat tu XD'!G188</f>
        <v>8027</v>
      </c>
      <c r="L1055" s="2104"/>
      <c r="M1055" s="2103">
        <f>IF(L1055=0,J1055*K1055,J1055*K1055*L1055)</f>
        <v>8107.27</v>
      </c>
      <c r="N1055" s="2106">
        <f>IF(L1055=0,I1053*J1055,I1053*J1055*L1055)</f>
        <v>141.4</v>
      </c>
      <c r="O1055" s="2106">
        <f>J1056%*N1055</f>
        <v>4.242</v>
      </c>
      <c r="P1055" s="1952"/>
      <c r="Q1055" s="2025"/>
      <c r="R1055" s="2025"/>
      <c r="S1055" s="2025"/>
    </row>
    <row r="1056" spans="1:19" s="474" customFormat="1" ht="15">
      <c r="A1056" s="2099"/>
      <c r="B1056" s="2100"/>
      <c r="C1056" s="2100"/>
      <c r="D1056" s="2100"/>
      <c r="E1056" s="2099"/>
      <c r="F1056" s="2099" t="s">
        <v>1882</v>
      </c>
      <c r="G1056" s="2115" t="s">
        <v>226</v>
      </c>
      <c r="H1056" s="2099" t="s">
        <v>1850</v>
      </c>
      <c r="I1056" s="2099"/>
      <c r="J1056" s="2102">
        <v>3</v>
      </c>
      <c r="K1056" s="2103"/>
      <c r="L1056" s="2104"/>
      <c r="M1056" s="2103">
        <f>SUM(M1055:M1055)*J1056%</f>
        <v>243.21809999999999</v>
      </c>
      <c r="N1056" s="2106"/>
      <c r="O1056" s="2106"/>
      <c r="P1056" s="1952"/>
      <c r="Q1056" s="2025"/>
      <c r="R1056" s="2025"/>
      <c r="S1056" s="2025"/>
    </row>
    <row r="1057" spans="1:19" s="474" customFormat="1" ht="15">
      <c r="A1057" s="2099"/>
      <c r="B1057" s="2100"/>
      <c r="C1057" s="2100"/>
      <c r="D1057" s="2100"/>
      <c r="E1057" s="2099"/>
      <c r="F1057" s="2099"/>
      <c r="G1057" s="2116" t="s">
        <v>225</v>
      </c>
      <c r="H1057" s="2116"/>
      <c r="I1057" s="2116"/>
      <c r="J1057" s="2120"/>
      <c r="K1057" s="2118"/>
      <c r="L1057" s="2119"/>
      <c r="M1057" s="2118">
        <f>ROUND(SUM(M1058:M1058),Config!C103)</f>
        <v>5484</v>
      </c>
      <c r="N1057" s="2106"/>
      <c r="O1057" s="2106"/>
      <c r="P1057" s="1952"/>
      <c r="Q1057" s="2025"/>
      <c r="R1057" s="2025"/>
      <c r="S1057" s="2025"/>
    </row>
    <row r="1058" spans="1:19" s="474" customFormat="1" ht="15">
      <c r="A1058" s="2099"/>
      <c r="B1058" s="2100"/>
      <c r="C1058" s="2100"/>
      <c r="D1058" s="2100"/>
      <c r="E1058" s="2099"/>
      <c r="F1058" s="2099" t="s">
        <v>1866</v>
      </c>
      <c r="G1058" s="2115" t="s">
        <v>1867</v>
      </c>
      <c r="H1058" s="2099" t="s">
        <v>1833</v>
      </c>
      <c r="I1058" s="2099"/>
      <c r="J1058" s="2102">
        <v>2.4E-2</v>
      </c>
      <c r="K1058" s="2171">
        <f>'TH vat tu XD'!G196</f>
        <v>228500</v>
      </c>
      <c r="L1058" s="2104"/>
      <c r="M1058" s="2103">
        <f>IF(L1058=0,J1058*K1058,J1058*K1058*L1058)</f>
        <v>5484</v>
      </c>
      <c r="N1058" s="2106">
        <f>IF(L1058=0,I1053*J1058,I1053*J1058*L1058)</f>
        <v>3.36</v>
      </c>
      <c r="O1058" s="2106"/>
      <c r="P1058" s="1952"/>
      <c r="Q1058" s="2025"/>
      <c r="R1058" s="2025"/>
      <c r="S1058" s="2025"/>
    </row>
    <row r="1059" spans="1:19" s="474" customFormat="1" ht="15" hidden="1">
      <c r="A1059" s="2099"/>
      <c r="B1059" s="2100"/>
      <c r="C1059" s="2100"/>
      <c r="D1059" s="2100"/>
      <c r="E1059" s="2099"/>
      <c r="F1059" s="2099"/>
      <c r="G1059" s="2101" t="s">
        <v>109</v>
      </c>
      <c r="H1059" s="2099"/>
      <c r="I1059" s="2099"/>
      <c r="J1059" s="2099" t="s">
        <v>333</v>
      </c>
      <c r="K1059" s="2103"/>
      <c r="L1059" s="2104"/>
      <c r="M1059" s="2105">
        <f>M1054+M1057+0</f>
        <v>13834</v>
      </c>
      <c r="N1059" s="2106"/>
      <c r="O1059" s="2106"/>
      <c r="P1059" s="1952"/>
      <c r="Q1059" s="2025"/>
      <c r="R1059" s="2025"/>
      <c r="S1059" s="2025"/>
    </row>
    <row r="1060" spans="1:19" s="474" customFormat="1" ht="15" hidden="1">
      <c r="A1060" s="2099"/>
      <c r="B1060" s="2100"/>
      <c r="C1060" s="2100"/>
      <c r="D1060" s="2100"/>
      <c r="E1060" s="2099"/>
      <c r="F1060" s="2099"/>
      <c r="G1060" s="2101" t="s">
        <v>378</v>
      </c>
      <c r="H1060" s="2099"/>
      <c r="I1060" s="2099"/>
      <c r="J1060" s="2099" t="str">
        <f ca="1">"T*"&amp;'THCP xay dung'!F222*100&amp;"%"</f>
        <v>T*6,2%</v>
      </c>
      <c r="K1060" s="2103"/>
      <c r="L1060" s="2104"/>
      <c r="M1060" s="2105">
        <f ca="1">M1059*'THCP xay dung'!F222*100%</f>
        <v>857.70799999999997</v>
      </c>
      <c r="N1060" s="2106"/>
      <c r="O1060" s="2106"/>
      <c r="P1060" s="1952"/>
      <c r="Q1060" s="2025"/>
      <c r="R1060" s="2025"/>
      <c r="S1060" s="2025"/>
    </row>
    <row r="1061" spans="1:19" s="474" customFormat="1" ht="28.5" hidden="1">
      <c r="A1061" s="2099"/>
      <c r="B1061" s="2100"/>
      <c r="C1061" s="2100"/>
      <c r="D1061" s="2100"/>
      <c r="E1061" s="2099"/>
      <c r="F1061" s="2099"/>
      <c r="G1061" s="2101" t="s">
        <v>702</v>
      </c>
      <c r="H1061" s="2099"/>
      <c r="I1061" s="2099"/>
      <c r="J1061" s="2099" t="str">
        <f>IF('THCP xay dung'!G223&lt;&gt;1,"T*"&amp;'THCP xay dung'!F223*100&amp;"%"&amp;"*"&amp;'THCP xay dung'!G223,"T*"&amp;'THCP xay dung'!F223*100&amp;"%")</f>
        <v>T*1,1%</v>
      </c>
      <c r="K1061" s="2103"/>
      <c r="L1061" s="2104"/>
      <c r="M1061" s="2105">
        <f>IF('THCP xay dung'!G223&lt;&gt;1,M1059*'THCP xay dung'!F223*100%*'THCP xay dung'!G223,M1059*'THCP xay dung'!F223*100%)</f>
        <v>152.17400000000001</v>
      </c>
      <c r="N1061" s="2106"/>
      <c r="O1061" s="2106"/>
      <c r="P1061" s="1952"/>
      <c r="Q1061" s="2025"/>
      <c r="R1061" s="2025"/>
      <c r="S1061" s="2025"/>
    </row>
    <row r="1062" spans="1:19" s="474" customFormat="1" ht="42.75" hidden="1">
      <c r="A1062" s="2099"/>
      <c r="B1062" s="2100"/>
      <c r="C1062" s="2100"/>
      <c r="D1062" s="2100"/>
      <c r="E1062" s="2099"/>
      <c r="F1062" s="2099"/>
      <c r="G1062" s="2101" t="s">
        <v>703</v>
      </c>
      <c r="H1062" s="2099"/>
      <c r="I1062" s="2099"/>
      <c r="J1062" s="2099" t="str">
        <f ca="1">"T*"&amp;'THCP xay dung'!F224*100&amp;"%"</f>
        <v>T*2%</v>
      </c>
      <c r="K1062" s="2103"/>
      <c r="L1062" s="2104"/>
      <c r="M1062" s="2105">
        <f ca="1">M1059*'THCP xay dung'!F224*100%</f>
        <v>276.68</v>
      </c>
      <c r="N1062" s="2106"/>
      <c r="O1062" s="2106"/>
      <c r="P1062" s="1952"/>
      <c r="Q1062" s="2025"/>
      <c r="R1062" s="2025"/>
      <c r="S1062" s="2025"/>
    </row>
    <row r="1063" spans="1:19" s="474" customFormat="1" ht="15" hidden="1">
      <c r="A1063" s="2099"/>
      <c r="B1063" s="2100"/>
      <c r="C1063" s="2100"/>
      <c r="D1063" s="2100"/>
      <c r="E1063" s="2099"/>
      <c r="F1063" s="2099"/>
      <c r="G1063" s="2101" t="s">
        <v>701</v>
      </c>
      <c r="H1063" s="2099"/>
      <c r="I1063" s="2099"/>
      <c r="J1063" s="2099" t="s">
        <v>931</v>
      </c>
      <c r="K1063" s="2103"/>
      <c r="L1063" s="2104"/>
      <c r="M1063" s="2105">
        <f ca="1">M1060+M1061+M1062</f>
        <v>1286.5619999999999</v>
      </c>
      <c r="N1063" s="2106"/>
      <c r="O1063" s="2106"/>
      <c r="P1063" s="1952"/>
      <c r="Q1063" s="2025"/>
      <c r="R1063" s="2025"/>
      <c r="S1063" s="2025"/>
    </row>
    <row r="1064" spans="1:19" s="474" customFormat="1" ht="15" hidden="1">
      <c r="A1064" s="2099"/>
      <c r="B1064" s="2100"/>
      <c r="C1064" s="2100"/>
      <c r="D1064" s="2100"/>
      <c r="E1064" s="2099"/>
      <c r="F1064" s="2099"/>
      <c r="G1064" s="2101" t="s">
        <v>574</v>
      </c>
      <c r="H1064" s="2099"/>
      <c r="I1064" s="2099"/>
      <c r="J1064" s="2099" t="str">
        <f ca="1">"(T+GT)*"&amp;'THCP xay dung'!F226*100&amp;"%"</f>
        <v>(T+GT)*6%</v>
      </c>
      <c r="K1064" s="2103"/>
      <c r="L1064" s="2104"/>
      <c r="M1064" s="2105">
        <f ca="1">(M1059+M1063)*'THCP xay dung'!F226*100%</f>
        <v>907.23371999999995</v>
      </c>
      <c r="N1064" s="2106"/>
      <c r="O1064" s="2106"/>
      <c r="P1064" s="1952"/>
      <c r="Q1064" s="2025"/>
      <c r="R1064" s="2025"/>
      <c r="S1064" s="2025"/>
    </row>
    <row r="1065" spans="1:19" s="474" customFormat="1" ht="15" hidden="1">
      <c r="A1065" s="2099"/>
      <c r="B1065" s="2100"/>
      <c r="C1065" s="2100"/>
      <c r="D1065" s="2100"/>
      <c r="E1065" s="2099"/>
      <c r="F1065" s="2099"/>
      <c r="G1065" s="2101" t="s">
        <v>113</v>
      </c>
      <c r="H1065" s="2099"/>
      <c r="I1065" s="2099"/>
      <c r="J1065" s="2099" t="s">
        <v>705</v>
      </c>
      <c r="K1065" s="2103"/>
      <c r="L1065" s="2104"/>
      <c r="M1065" s="2105">
        <f ca="1">M1059+M1063+M1064</f>
        <v>16027.79572</v>
      </c>
      <c r="N1065" s="2106"/>
      <c r="O1065" s="2106"/>
      <c r="P1065" s="1952"/>
      <c r="Q1065" s="2025"/>
      <c r="R1065" s="2025"/>
      <c r="S1065" s="2025"/>
    </row>
    <row r="1066" spans="1:19" s="474" customFormat="1" ht="15" hidden="1">
      <c r="A1066" s="2099"/>
      <c r="B1066" s="2100"/>
      <c r="C1066" s="2100"/>
      <c r="D1066" s="2100"/>
      <c r="E1066" s="2099"/>
      <c r="F1066" s="2099"/>
      <c r="G1066" s="2101" t="s">
        <v>575</v>
      </c>
      <c r="H1066" s="2099"/>
      <c r="I1066" s="2099"/>
      <c r="J1066" s="2099" t="str">
        <f>"G*"&amp;'THCP xay dung'!F228*100&amp;"%"</f>
        <v>G*10%</v>
      </c>
      <c r="K1066" s="2103"/>
      <c r="L1066" s="2104"/>
      <c r="M1066" s="2105">
        <f ca="1">M1065*'THCP xay dung'!F228*100%</f>
        <v>1602.7795720000001</v>
      </c>
      <c r="N1066" s="2106"/>
      <c r="O1066" s="2106"/>
      <c r="P1066" s="1952"/>
      <c r="Q1066" s="2025"/>
      <c r="R1066" s="2025"/>
      <c r="S1066" s="2025"/>
    </row>
    <row r="1067" spans="1:19" s="474" customFormat="1" ht="15" hidden="1">
      <c r="A1067" s="2099"/>
      <c r="B1067" s="2100"/>
      <c r="C1067" s="2100"/>
      <c r="D1067" s="2100"/>
      <c r="E1067" s="2099"/>
      <c r="F1067" s="2099"/>
      <c r="G1067" s="2101" t="s">
        <v>117</v>
      </c>
      <c r="H1067" s="2099"/>
      <c r="I1067" s="2099"/>
      <c r="J1067" s="2099" t="s">
        <v>596</v>
      </c>
      <c r="K1067" s="2103"/>
      <c r="L1067" s="2104"/>
      <c r="M1067" s="2105">
        <f ca="1">M1065+M1066</f>
        <v>17630.575292000001</v>
      </c>
      <c r="N1067" s="2106"/>
      <c r="O1067" s="2106"/>
      <c r="P1067" s="1952"/>
      <c r="Q1067" s="2025"/>
      <c r="R1067" s="2025"/>
      <c r="S1067" s="2025"/>
    </row>
    <row r="1068" spans="1:19" s="474" customFormat="1" ht="15" hidden="1">
      <c r="A1068" s="2099"/>
      <c r="B1068" s="2100"/>
      <c r="C1068" s="2100"/>
      <c r="D1068" s="2100"/>
      <c r="E1068" s="2099"/>
      <c r="F1068" s="2099"/>
      <c r="G1068" s="2101" t="s">
        <v>168</v>
      </c>
      <c r="H1068" s="2099"/>
      <c r="I1068" s="2099"/>
      <c r="J1068" s="2099" t="str">
        <f ca="1">"GXD*"&amp;'THCP xay dung'!F230*100&amp;"%"</f>
        <v>GXD*6%</v>
      </c>
      <c r="K1068" s="2103"/>
      <c r="L1068" s="2104"/>
      <c r="M1068" s="2105">
        <f ca="1">M1067*'THCP xay dung'!F230*100%</f>
        <v>1057.83451752</v>
      </c>
      <c r="N1068" s="2106"/>
      <c r="O1068" s="2106"/>
      <c r="P1068" s="1952"/>
      <c r="Q1068" s="2025"/>
      <c r="R1068" s="2025"/>
      <c r="S1068" s="2025"/>
    </row>
    <row r="1069" spans="1:19" s="474" customFormat="1" ht="15" hidden="1">
      <c r="A1069" s="2122" t="s">
        <v>304</v>
      </c>
      <c r="B1069" s="2123"/>
      <c r="C1069" s="2123"/>
      <c r="D1069" s="2123"/>
      <c r="E1069" s="2122"/>
      <c r="F1069" s="2122"/>
      <c r="G1069" s="2109" t="s">
        <v>1837</v>
      </c>
      <c r="H1069" s="2107"/>
      <c r="I1069" s="2107"/>
      <c r="J1069" s="2107" t="s">
        <v>1636</v>
      </c>
      <c r="K1069" s="2110"/>
      <c r="L1069" s="2111"/>
      <c r="M1069" s="2112">
        <f ca="1">M1067+M1068</f>
        <v>18688.409809520002</v>
      </c>
      <c r="N1069" s="2113"/>
      <c r="O1069" s="2113"/>
      <c r="P1069" s="1952"/>
      <c r="Q1069" s="2025"/>
      <c r="R1069" s="2025"/>
      <c r="S1069" s="2025"/>
    </row>
    <row r="1070" spans="1:19" s="474" customFormat="1" ht="15">
      <c r="A1070" s="2159">
        <v>116</v>
      </c>
      <c r="B1070" s="2160">
        <f>'Du toan XD'!B327</f>
        <v>15</v>
      </c>
      <c r="C1070" s="2160"/>
      <c r="D1070" s="2160" t="s">
        <v>1583</v>
      </c>
      <c r="E1070" s="2159" t="s">
        <v>1583</v>
      </c>
      <c r="F1070" s="2159"/>
      <c r="G1070" s="2165" t="str">
        <f>'Du toan XD'!F327</f>
        <v>Dây CU/PVC (1x1,5)mm2</v>
      </c>
      <c r="H1070" s="2159" t="str">
        <f>'Du toan XD'!G327</f>
        <v>m</v>
      </c>
      <c r="I1070" s="2159">
        <f>'Du toan XD'!H327</f>
        <v>105</v>
      </c>
      <c r="J1070" s="2161"/>
      <c r="K1070" s="2162"/>
      <c r="L1070" s="2163"/>
      <c r="M1070" s="2162"/>
      <c r="N1070" s="2164"/>
      <c r="O1070" s="2164"/>
      <c r="P1070" s="1952">
        <f>M1071</f>
        <v>8350</v>
      </c>
      <c r="Q1070" s="2025"/>
      <c r="R1070" s="2025">
        <f>M1074</f>
        <v>5484</v>
      </c>
      <c r="S1070" s="2025"/>
    </row>
    <row r="1071" spans="1:19" s="474" customFormat="1" ht="15">
      <c r="A1071" s="2099"/>
      <c r="B1071" s="2100"/>
      <c r="C1071" s="2100"/>
      <c r="D1071" s="2100"/>
      <c r="E1071" s="2099"/>
      <c r="F1071" s="2099"/>
      <c r="G1071" s="2116" t="s">
        <v>224</v>
      </c>
      <c r="H1071" s="2116"/>
      <c r="I1071" s="2116"/>
      <c r="J1071" s="2120"/>
      <c r="K1071" s="2118"/>
      <c r="L1071" s="2119"/>
      <c r="M1071" s="2118">
        <f>ROUND(SUM(M1072:M1073),Config!C103)</f>
        <v>8350</v>
      </c>
      <c r="N1071" s="2106"/>
      <c r="O1071" s="2106"/>
      <c r="P1071" s="1952"/>
      <c r="Q1071" s="2025"/>
      <c r="R1071" s="2025"/>
      <c r="S1071" s="2025"/>
    </row>
    <row r="1072" spans="1:19" s="474" customFormat="1" ht="15">
      <c r="A1072" s="2099"/>
      <c r="B1072" s="2100"/>
      <c r="C1072" s="2100"/>
      <c r="D1072" s="2100"/>
      <c r="E1072" s="2099"/>
      <c r="F1072" s="2099" t="s">
        <v>2026</v>
      </c>
      <c r="G1072" s="2115" t="s">
        <v>2027</v>
      </c>
      <c r="H1072" s="2099" t="s">
        <v>2021</v>
      </c>
      <c r="I1072" s="2099"/>
      <c r="J1072" s="2102">
        <v>1.01</v>
      </c>
      <c r="K1072" s="2171">
        <f>'TH vat tu XD'!G188</f>
        <v>8027</v>
      </c>
      <c r="L1072" s="2104"/>
      <c r="M1072" s="2103">
        <f>IF(L1072=0,J1072*K1072,J1072*K1072*L1072)</f>
        <v>8107.27</v>
      </c>
      <c r="N1072" s="2106">
        <f>IF(L1072=0,I1070*J1072,I1070*J1072*L1072)</f>
        <v>106.05</v>
      </c>
      <c r="O1072" s="2106">
        <f>J1073%*N1072</f>
        <v>3.1814999999999998</v>
      </c>
      <c r="P1072" s="1952"/>
      <c r="Q1072" s="2025"/>
      <c r="R1072" s="2025"/>
      <c r="S1072" s="2025"/>
    </row>
    <row r="1073" spans="1:19" s="474" customFormat="1" ht="15">
      <c r="A1073" s="2099"/>
      <c r="B1073" s="2100"/>
      <c r="C1073" s="2100"/>
      <c r="D1073" s="2100"/>
      <c r="E1073" s="2099"/>
      <c r="F1073" s="2099" t="s">
        <v>1882</v>
      </c>
      <c r="G1073" s="2115" t="s">
        <v>226</v>
      </c>
      <c r="H1073" s="2099" t="s">
        <v>1850</v>
      </c>
      <c r="I1073" s="2099"/>
      <c r="J1073" s="2102">
        <v>3</v>
      </c>
      <c r="K1073" s="2103"/>
      <c r="L1073" s="2104"/>
      <c r="M1073" s="2103">
        <f>SUM(M1072:M1072)*J1073%</f>
        <v>243.21809999999999</v>
      </c>
      <c r="N1073" s="2106"/>
      <c r="O1073" s="2106"/>
      <c r="P1073" s="1952"/>
      <c r="Q1073" s="2025"/>
      <c r="R1073" s="2025"/>
      <c r="S1073" s="2025"/>
    </row>
    <row r="1074" spans="1:19" s="474" customFormat="1" ht="15">
      <c r="A1074" s="2099"/>
      <c r="B1074" s="2100"/>
      <c r="C1074" s="2100"/>
      <c r="D1074" s="2100"/>
      <c r="E1074" s="2099"/>
      <c r="F1074" s="2099"/>
      <c r="G1074" s="2116" t="s">
        <v>225</v>
      </c>
      <c r="H1074" s="2116"/>
      <c r="I1074" s="2116"/>
      <c r="J1074" s="2120"/>
      <c r="K1074" s="2118"/>
      <c r="L1074" s="2119"/>
      <c r="M1074" s="2118">
        <f>ROUND(SUM(M1075:M1075),Config!C103)</f>
        <v>5484</v>
      </c>
      <c r="N1074" s="2106"/>
      <c r="O1074" s="2106"/>
      <c r="P1074" s="1952"/>
      <c r="Q1074" s="2025"/>
      <c r="R1074" s="2025"/>
      <c r="S1074" s="2025"/>
    </row>
    <row r="1075" spans="1:19" s="474" customFormat="1" ht="15">
      <c r="A1075" s="2099"/>
      <c r="B1075" s="2100"/>
      <c r="C1075" s="2100"/>
      <c r="D1075" s="2100"/>
      <c r="E1075" s="2099"/>
      <c r="F1075" s="2099" t="s">
        <v>1866</v>
      </c>
      <c r="G1075" s="2115" t="s">
        <v>1867</v>
      </c>
      <c r="H1075" s="2099" t="s">
        <v>1833</v>
      </c>
      <c r="I1075" s="2099"/>
      <c r="J1075" s="2102">
        <v>2.4E-2</v>
      </c>
      <c r="K1075" s="2171">
        <f>'TH vat tu XD'!G196</f>
        <v>228500</v>
      </c>
      <c r="L1075" s="2104"/>
      <c r="M1075" s="2103">
        <f>IF(L1075=0,J1075*K1075,J1075*K1075*L1075)</f>
        <v>5484</v>
      </c>
      <c r="N1075" s="2106">
        <f>IF(L1075=0,I1070*J1075,I1070*J1075*L1075)</f>
        <v>2.52</v>
      </c>
      <c r="O1075" s="2106"/>
      <c r="P1075" s="1952"/>
      <c r="Q1075" s="2025"/>
      <c r="R1075" s="2025"/>
      <c r="S1075" s="2025"/>
    </row>
    <row r="1076" spans="1:19" s="474" customFormat="1" ht="15" hidden="1">
      <c r="A1076" s="2099"/>
      <c r="B1076" s="2100"/>
      <c r="C1076" s="2100"/>
      <c r="D1076" s="2100"/>
      <c r="E1076" s="2099"/>
      <c r="F1076" s="2099"/>
      <c r="G1076" s="2101" t="s">
        <v>109</v>
      </c>
      <c r="H1076" s="2099"/>
      <c r="I1076" s="2099"/>
      <c r="J1076" s="2099" t="s">
        <v>333</v>
      </c>
      <c r="K1076" s="2103"/>
      <c r="L1076" s="2104"/>
      <c r="M1076" s="2105">
        <f>M1071+M1074+0</f>
        <v>13834</v>
      </c>
      <c r="N1076" s="2106"/>
      <c r="O1076" s="2106"/>
      <c r="P1076" s="1952"/>
      <c r="Q1076" s="2025"/>
      <c r="R1076" s="2025"/>
      <c r="S1076" s="2025"/>
    </row>
    <row r="1077" spans="1:19" s="474" customFormat="1" ht="15" hidden="1">
      <c r="A1077" s="2099"/>
      <c r="B1077" s="2100"/>
      <c r="C1077" s="2100"/>
      <c r="D1077" s="2100"/>
      <c r="E1077" s="2099"/>
      <c r="F1077" s="2099"/>
      <c r="G1077" s="2101" t="s">
        <v>378</v>
      </c>
      <c r="H1077" s="2099"/>
      <c r="I1077" s="2099"/>
      <c r="J1077" s="2099" t="str">
        <f ca="1">"T*"&amp;'THCP xay dung'!F222*100&amp;"%"</f>
        <v>T*6,2%</v>
      </c>
      <c r="K1077" s="2103"/>
      <c r="L1077" s="2104"/>
      <c r="M1077" s="2105">
        <f ca="1">M1076*'THCP xay dung'!F222*100%</f>
        <v>857.70799999999997</v>
      </c>
      <c r="N1077" s="2106"/>
      <c r="O1077" s="2106"/>
      <c r="P1077" s="1952"/>
      <c r="Q1077" s="2025"/>
      <c r="R1077" s="2025"/>
      <c r="S1077" s="2025"/>
    </row>
    <row r="1078" spans="1:19" s="474" customFormat="1" ht="28.5" hidden="1">
      <c r="A1078" s="2099"/>
      <c r="B1078" s="2100"/>
      <c r="C1078" s="2100"/>
      <c r="D1078" s="2100"/>
      <c r="E1078" s="2099"/>
      <c r="F1078" s="2099"/>
      <c r="G1078" s="2101" t="s">
        <v>702</v>
      </c>
      <c r="H1078" s="2099"/>
      <c r="I1078" s="2099"/>
      <c r="J1078" s="2099" t="str">
        <f>IF('THCP xay dung'!G223&lt;&gt;1,"T*"&amp;'THCP xay dung'!F223*100&amp;"%"&amp;"*"&amp;'THCP xay dung'!G223,"T*"&amp;'THCP xay dung'!F223*100&amp;"%")</f>
        <v>T*1,1%</v>
      </c>
      <c r="K1078" s="2103"/>
      <c r="L1078" s="2104"/>
      <c r="M1078" s="2105">
        <f>IF('THCP xay dung'!G223&lt;&gt;1,M1076*'THCP xay dung'!F223*100%*'THCP xay dung'!G223,M1076*'THCP xay dung'!F223*100%)</f>
        <v>152.17400000000001</v>
      </c>
      <c r="N1078" s="2106"/>
      <c r="O1078" s="2106"/>
      <c r="P1078" s="1952"/>
      <c r="Q1078" s="2025"/>
      <c r="R1078" s="2025"/>
      <c r="S1078" s="2025"/>
    </row>
    <row r="1079" spans="1:19" s="474" customFormat="1" ht="42.75" hidden="1">
      <c r="A1079" s="2099"/>
      <c r="B1079" s="2100"/>
      <c r="C1079" s="2100"/>
      <c r="D1079" s="2100"/>
      <c r="E1079" s="2099"/>
      <c r="F1079" s="2099"/>
      <c r="G1079" s="2101" t="s">
        <v>703</v>
      </c>
      <c r="H1079" s="2099"/>
      <c r="I1079" s="2099"/>
      <c r="J1079" s="2099" t="str">
        <f ca="1">"T*"&amp;'THCP xay dung'!F224*100&amp;"%"</f>
        <v>T*2%</v>
      </c>
      <c r="K1079" s="2103"/>
      <c r="L1079" s="2104"/>
      <c r="M1079" s="2105">
        <f ca="1">M1076*'THCP xay dung'!F224*100%</f>
        <v>276.68</v>
      </c>
      <c r="N1079" s="2106"/>
      <c r="O1079" s="2106"/>
      <c r="P1079" s="1952"/>
      <c r="Q1079" s="2025"/>
      <c r="R1079" s="2025"/>
      <c r="S1079" s="2025"/>
    </row>
    <row r="1080" spans="1:19" s="474" customFormat="1" ht="15" hidden="1">
      <c r="A1080" s="2099"/>
      <c r="B1080" s="2100"/>
      <c r="C1080" s="2100"/>
      <c r="D1080" s="2100"/>
      <c r="E1080" s="2099"/>
      <c r="F1080" s="2099"/>
      <c r="G1080" s="2101" t="s">
        <v>701</v>
      </c>
      <c r="H1080" s="2099"/>
      <c r="I1080" s="2099"/>
      <c r="J1080" s="2099" t="s">
        <v>931</v>
      </c>
      <c r="K1080" s="2103"/>
      <c r="L1080" s="2104"/>
      <c r="M1080" s="2105">
        <f ca="1">M1077+M1078+M1079</f>
        <v>1286.5619999999999</v>
      </c>
      <c r="N1080" s="2106"/>
      <c r="O1080" s="2106"/>
      <c r="P1080" s="1952"/>
      <c r="Q1080" s="2025"/>
      <c r="R1080" s="2025"/>
      <c r="S1080" s="2025"/>
    </row>
    <row r="1081" spans="1:19" s="474" customFormat="1" ht="15" hidden="1">
      <c r="A1081" s="2099"/>
      <c r="B1081" s="2100"/>
      <c r="C1081" s="2100"/>
      <c r="D1081" s="2100"/>
      <c r="E1081" s="2099"/>
      <c r="F1081" s="2099"/>
      <c r="G1081" s="2101" t="s">
        <v>574</v>
      </c>
      <c r="H1081" s="2099"/>
      <c r="I1081" s="2099"/>
      <c r="J1081" s="2099" t="str">
        <f ca="1">"(T+GT)*"&amp;'THCP xay dung'!F226*100&amp;"%"</f>
        <v>(T+GT)*6%</v>
      </c>
      <c r="K1081" s="2103"/>
      <c r="L1081" s="2104"/>
      <c r="M1081" s="2105">
        <f ca="1">(M1076+M1080)*'THCP xay dung'!F226*100%</f>
        <v>907.23371999999995</v>
      </c>
      <c r="N1081" s="2106"/>
      <c r="O1081" s="2106"/>
      <c r="P1081" s="1952"/>
      <c r="Q1081" s="2025"/>
      <c r="R1081" s="2025"/>
      <c r="S1081" s="2025"/>
    </row>
    <row r="1082" spans="1:19" s="474" customFormat="1" ht="15" hidden="1">
      <c r="A1082" s="2099"/>
      <c r="B1082" s="2100"/>
      <c r="C1082" s="2100"/>
      <c r="D1082" s="2100"/>
      <c r="E1082" s="2099"/>
      <c r="F1082" s="2099"/>
      <c r="G1082" s="2101" t="s">
        <v>113</v>
      </c>
      <c r="H1082" s="2099"/>
      <c r="I1082" s="2099"/>
      <c r="J1082" s="2099" t="s">
        <v>705</v>
      </c>
      <c r="K1082" s="2103"/>
      <c r="L1082" s="2104"/>
      <c r="M1082" s="2105">
        <f ca="1">M1076+M1080+M1081</f>
        <v>16027.79572</v>
      </c>
      <c r="N1082" s="2106"/>
      <c r="O1082" s="2106"/>
      <c r="P1082" s="1952"/>
      <c r="Q1082" s="2025"/>
      <c r="R1082" s="2025"/>
      <c r="S1082" s="2025"/>
    </row>
    <row r="1083" spans="1:19" s="474" customFormat="1" ht="15" hidden="1">
      <c r="A1083" s="2099"/>
      <c r="B1083" s="2100"/>
      <c r="C1083" s="2100"/>
      <c r="D1083" s="2100"/>
      <c r="E1083" s="2099"/>
      <c r="F1083" s="2099"/>
      <c r="G1083" s="2101" t="s">
        <v>575</v>
      </c>
      <c r="H1083" s="2099"/>
      <c r="I1083" s="2099"/>
      <c r="J1083" s="2099" t="str">
        <f>"G*"&amp;'THCP xay dung'!F228*100&amp;"%"</f>
        <v>G*10%</v>
      </c>
      <c r="K1083" s="2103"/>
      <c r="L1083" s="2104"/>
      <c r="M1083" s="2105">
        <f ca="1">M1082*'THCP xay dung'!F228*100%</f>
        <v>1602.7795720000001</v>
      </c>
      <c r="N1083" s="2106"/>
      <c r="O1083" s="2106"/>
      <c r="P1083" s="1952"/>
      <c r="Q1083" s="2025"/>
      <c r="R1083" s="2025"/>
      <c r="S1083" s="2025"/>
    </row>
    <row r="1084" spans="1:19" s="474" customFormat="1" ht="15" hidden="1">
      <c r="A1084" s="2099"/>
      <c r="B1084" s="2100"/>
      <c r="C1084" s="2100"/>
      <c r="D1084" s="2100"/>
      <c r="E1084" s="2099"/>
      <c r="F1084" s="2099"/>
      <c r="G1084" s="2101" t="s">
        <v>117</v>
      </c>
      <c r="H1084" s="2099"/>
      <c r="I1084" s="2099"/>
      <c r="J1084" s="2099" t="s">
        <v>596</v>
      </c>
      <c r="K1084" s="2103"/>
      <c r="L1084" s="2104"/>
      <c r="M1084" s="2105">
        <f ca="1">M1082+M1083</f>
        <v>17630.575292000001</v>
      </c>
      <c r="N1084" s="2106"/>
      <c r="O1084" s="2106"/>
      <c r="P1084" s="1952"/>
      <c r="Q1084" s="2025"/>
      <c r="R1084" s="2025"/>
      <c r="S1084" s="2025"/>
    </row>
    <row r="1085" spans="1:19" s="474" customFormat="1" ht="15" hidden="1">
      <c r="A1085" s="2099"/>
      <c r="B1085" s="2100"/>
      <c r="C1085" s="2100"/>
      <c r="D1085" s="2100"/>
      <c r="E1085" s="2099"/>
      <c r="F1085" s="2099"/>
      <c r="G1085" s="2101" t="s">
        <v>168</v>
      </c>
      <c r="H1085" s="2099"/>
      <c r="I1085" s="2099"/>
      <c r="J1085" s="2099" t="str">
        <f ca="1">"GXD*"&amp;'THCP xay dung'!F230*100&amp;"%"</f>
        <v>GXD*6%</v>
      </c>
      <c r="K1085" s="2103"/>
      <c r="L1085" s="2104"/>
      <c r="M1085" s="2105">
        <f ca="1">M1084*'THCP xay dung'!F230*100%</f>
        <v>1057.83451752</v>
      </c>
      <c r="N1085" s="2106"/>
      <c r="O1085" s="2106"/>
      <c r="P1085" s="1952"/>
      <c r="Q1085" s="2025"/>
      <c r="R1085" s="2025"/>
      <c r="S1085" s="2025"/>
    </row>
    <row r="1086" spans="1:19" s="474" customFormat="1" ht="15" hidden="1">
      <c r="A1086" s="2122" t="s">
        <v>304</v>
      </c>
      <c r="B1086" s="2123"/>
      <c r="C1086" s="2123"/>
      <c r="D1086" s="2123"/>
      <c r="E1086" s="2122"/>
      <c r="F1086" s="2122"/>
      <c r="G1086" s="2109" t="s">
        <v>1837</v>
      </c>
      <c r="H1086" s="2107"/>
      <c r="I1086" s="2107"/>
      <c r="J1086" s="2107" t="s">
        <v>1636</v>
      </c>
      <c r="K1086" s="2110"/>
      <c r="L1086" s="2111"/>
      <c r="M1086" s="2112">
        <f ca="1">M1084+M1085</f>
        <v>18688.409809520002</v>
      </c>
      <c r="N1086" s="2113"/>
      <c r="O1086" s="2113"/>
      <c r="P1086" s="1952"/>
      <c r="Q1086" s="2025"/>
      <c r="R1086" s="2025"/>
      <c r="S1086" s="2025"/>
    </row>
    <row r="1087" spans="1:19" s="474" customFormat="1" ht="30">
      <c r="A1087" s="2159">
        <v>117</v>
      </c>
      <c r="B1087" s="2160">
        <f>'Du toan XD'!B328</f>
        <v>16</v>
      </c>
      <c r="C1087" s="2160"/>
      <c r="D1087" s="2160" t="s">
        <v>1583</v>
      </c>
      <c r="E1087" s="2159" t="s">
        <v>1583</v>
      </c>
      <c r="F1087" s="2159"/>
      <c r="G1087" s="2165" t="str">
        <f>'Du toan XD'!F328</f>
        <v>Dây tiếp địa CU/PVC(1x2,5)mm2</v>
      </c>
      <c r="H1087" s="2159" t="str">
        <f>'Du toan XD'!G328</f>
        <v>m</v>
      </c>
      <c r="I1087" s="2159">
        <f>'Du toan XD'!H328</f>
        <v>70</v>
      </c>
      <c r="J1087" s="2161"/>
      <c r="K1087" s="2162"/>
      <c r="L1087" s="2163"/>
      <c r="M1087" s="2162"/>
      <c r="N1087" s="2164"/>
      <c r="O1087" s="2164"/>
      <c r="P1087" s="1952">
        <f>M1088</f>
        <v>8350</v>
      </c>
      <c r="Q1087" s="2025"/>
      <c r="R1087" s="2025">
        <f>M1091</f>
        <v>5484</v>
      </c>
      <c r="S1087" s="2025"/>
    </row>
    <row r="1088" spans="1:19" s="474" customFormat="1" ht="15">
      <c r="A1088" s="2099"/>
      <c r="B1088" s="2100"/>
      <c r="C1088" s="2100"/>
      <c r="D1088" s="2100"/>
      <c r="E1088" s="2099"/>
      <c r="F1088" s="2099"/>
      <c r="G1088" s="2116" t="s">
        <v>224</v>
      </c>
      <c r="H1088" s="2116"/>
      <c r="I1088" s="2116"/>
      <c r="J1088" s="2120"/>
      <c r="K1088" s="2118"/>
      <c r="L1088" s="2119"/>
      <c r="M1088" s="2118">
        <f>ROUND(SUM(M1089:M1090),Config!C103)</f>
        <v>8350</v>
      </c>
      <c r="N1088" s="2106"/>
      <c r="O1088" s="2106"/>
      <c r="P1088" s="1952"/>
      <c r="Q1088" s="2025"/>
      <c r="R1088" s="2025"/>
      <c r="S1088" s="2025"/>
    </row>
    <row r="1089" spans="1:19" s="474" customFormat="1" ht="15">
      <c r="A1089" s="2099"/>
      <c r="B1089" s="2100"/>
      <c r="C1089" s="2100"/>
      <c r="D1089" s="2100"/>
      <c r="E1089" s="2099"/>
      <c r="F1089" s="2099" t="s">
        <v>2026</v>
      </c>
      <c r="G1089" s="2115" t="s">
        <v>2027</v>
      </c>
      <c r="H1089" s="2099" t="s">
        <v>2021</v>
      </c>
      <c r="I1089" s="2099"/>
      <c r="J1089" s="2102">
        <v>1.01</v>
      </c>
      <c r="K1089" s="2171">
        <f>'TH vat tu XD'!G188</f>
        <v>8027</v>
      </c>
      <c r="L1089" s="2104"/>
      <c r="M1089" s="2103">
        <f>IF(L1089=0,J1089*K1089,J1089*K1089*L1089)</f>
        <v>8107.27</v>
      </c>
      <c r="N1089" s="2106">
        <f>IF(L1089=0,I1087*J1089,I1087*J1089*L1089)</f>
        <v>70.7</v>
      </c>
      <c r="O1089" s="2106">
        <f>J1090%*N1089</f>
        <v>2.121</v>
      </c>
      <c r="P1089" s="1952"/>
      <c r="Q1089" s="2025"/>
      <c r="R1089" s="2025"/>
      <c r="S1089" s="2025"/>
    </row>
    <row r="1090" spans="1:19" s="474" customFormat="1" ht="15">
      <c r="A1090" s="2099"/>
      <c r="B1090" s="2100"/>
      <c r="C1090" s="2100"/>
      <c r="D1090" s="2100"/>
      <c r="E1090" s="2099"/>
      <c r="F1090" s="2099" t="s">
        <v>1882</v>
      </c>
      <c r="G1090" s="2115" t="s">
        <v>226</v>
      </c>
      <c r="H1090" s="2099" t="s">
        <v>1850</v>
      </c>
      <c r="I1090" s="2099"/>
      <c r="J1090" s="2102">
        <v>3</v>
      </c>
      <c r="K1090" s="2103"/>
      <c r="L1090" s="2104"/>
      <c r="M1090" s="2103">
        <f>SUM(M1089:M1089)*J1090%</f>
        <v>243.21809999999999</v>
      </c>
      <c r="N1090" s="2106"/>
      <c r="O1090" s="2106"/>
      <c r="P1090" s="1952"/>
      <c r="Q1090" s="2025"/>
      <c r="R1090" s="2025"/>
      <c r="S1090" s="2025"/>
    </row>
    <row r="1091" spans="1:19" s="474" customFormat="1" ht="15">
      <c r="A1091" s="2099"/>
      <c r="B1091" s="2100"/>
      <c r="C1091" s="2100"/>
      <c r="D1091" s="2100"/>
      <c r="E1091" s="2099"/>
      <c r="F1091" s="2099"/>
      <c r="G1091" s="2116" t="s">
        <v>225</v>
      </c>
      <c r="H1091" s="2116"/>
      <c r="I1091" s="2116"/>
      <c r="J1091" s="2120"/>
      <c r="K1091" s="2118"/>
      <c r="L1091" s="2119"/>
      <c r="M1091" s="2118">
        <f>ROUND(SUM(M1092:M1092),Config!C103)</f>
        <v>5484</v>
      </c>
      <c r="N1091" s="2106"/>
      <c r="O1091" s="2106"/>
      <c r="P1091" s="1952"/>
      <c r="Q1091" s="2025"/>
      <c r="R1091" s="2025"/>
      <c r="S1091" s="2025"/>
    </row>
    <row r="1092" spans="1:19" s="474" customFormat="1" ht="15">
      <c r="A1092" s="2099"/>
      <c r="B1092" s="2100"/>
      <c r="C1092" s="2100"/>
      <c r="D1092" s="2100"/>
      <c r="E1092" s="2099"/>
      <c r="F1092" s="2099" t="s">
        <v>1866</v>
      </c>
      <c r="G1092" s="2115" t="s">
        <v>1867</v>
      </c>
      <c r="H1092" s="2099" t="s">
        <v>1833</v>
      </c>
      <c r="I1092" s="2099"/>
      <c r="J1092" s="2102">
        <v>2.4E-2</v>
      </c>
      <c r="K1092" s="2171">
        <f>'TH vat tu XD'!G196</f>
        <v>228500</v>
      </c>
      <c r="L1092" s="2104"/>
      <c r="M1092" s="2103">
        <f>IF(L1092=0,J1092*K1092,J1092*K1092*L1092)</f>
        <v>5484</v>
      </c>
      <c r="N1092" s="2106">
        <f>IF(L1092=0,I1087*J1092,I1087*J1092*L1092)</f>
        <v>1.68</v>
      </c>
      <c r="O1092" s="2106"/>
      <c r="P1092" s="1952"/>
      <c r="Q1092" s="2025"/>
      <c r="R1092" s="2025"/>
      <c r="S1092" s="2025"/>
    </row>
    <row r="1093" spans="1:19" s="474" customFormat="1" ht="15" hidden="1">
      <c r="A1093" s="2099"/>
      <c r="B1093" s="2100"/>
      <c r="C1093" s="2100"/>
      <c r="D1093" s="2100"/>
      <c r="E1093" s="2099"/>
      <c r="F1093" s="2099"/>
      <c r="G1093" s="2101" t="s">
        <v>109</v>
      </c>
      <c r="H1093" s="2099"/>
      <c r="I1093" s="2099"/>
      <c r="J1093" s="2099" t="s">
        <v>333</v>
      </c>
      <c r="K1093" s="2103"/>
      <c r="L1093" s="2104"/>
      <c r="M1093" s="2105">
        <f>M1088+M1091+0</f>
        <v>13834</v>
      </c>
      <c r="N1093" s="2106"/>
      <c r="O1093" s="2106"/>
      <c r="P1093" s="1952"/>
      <c r="Q1093" s="2025"/>
      <c r="R1093" s="2025"/>
      <c r="S1093" s="2025"/>
    </row>
    <row r="1094" spans="1:19" s="474" customFormat="1" ht="15" hidden="1">
      <c r="A1094" s="2099"/>
      <c r="B1094" s="2100"/>
      <c r="C1094" s="2100"/>
      <c r="D1094" s="2100"/>
      <c r="E1094" s="2099"/>
      <c r="F1094" s="2099"/>
      <c r="G1094" s="2101" t="s">
        <v>378</v>
      </c>
      <c r="H1094" s="2099"/>
      <c r="I1094" s="2099"/>
      <c r="J1094" s="2099" t="str">
        <f ca="1">"T*"&amp;'THCP xay dung'!F222*100&amp;"%"</f>
        <v>T*6,2%</v>
      </c>
      <c r="K1094" s="2103"/>
      <c r="L1094" s="2104"/>
      <c r="M1094" s="2105">
        <f ca="1">M1093*'THCP xay dung'!F222*100%</f>
        <v>857.70799999999997</v>
      </c>
      <c r="N1094" s="2106"/>
      <c r="O1094" s="2106"/>
      <c r="P1094" s="1952"/>
      <c r="Q1094" s="2025"/>
      <c r="R1094" s="2025"/>
      <c r="S1094" s="2025"/>
    </row>
    <row r="1095" spans="1:19" s="474" customFormat="1" ht="28.5" hidden="1">
      <c r="A1095" s="2099"/>
      <c r="B1095" s="2100"/>
      <c r="C1095" s="2100"/>
      <c r="D1095" s="2100"/>
      <c r="E1095" s="2099"/>
      <c r="F1095" s="2099"/>
      <c r="G1095" s="2101" t="s">
        <v>702</v>
      </c>
      <c r="H1095" s="2099"/>
      <c r="I1095" s="2099"/>
      <c r="J1095" s="2099" t="str">
        <f>IF('THCP xay dung'!G223&lt;&gt;1,"T*"&amp;'THCP xay dung'!F223*100&amp;"%"&amp;"*"&amp;'THCP xay dung'!G223,"T*"&amp;'THCP xay dung'!F223*100&amp;"%")</f>
        <v>T*1,1%</v>
      </c>
      <c r="K1095" s="2103"/>
      <c r="L1095" s="2104"/>
      <c r="M1095" s="2105">
        <f>IF('THCP xay dung'!G223&lt;&gt;1,M1093*'THCP xay dung'!F223*100%*'THCP xay dung'!G223,M1093*'THCP xay dung'!F223*100%)</f>
        <v>152.17400000000001</v>
      </c>
      <c r="N1095" s="2106"/>
      <c r="O1095" s="2106"/>
      <c r="P1095" s="1952"/>
      <c r="Q1095" s="2025"/>
      <c r="R1095" s="2025"/>
      <c r="S1095" s="2025"/>
    </row>
    <row r="1096" spans="1:19" s="474" customFormat="1" ht="42.75" hidden="1">
      <c r="A1096" s="2099"/>
      <c r="B1096" s="2100"/>
      <c r="C1096" s="2100"/>
      <c r="D1096" s="2100"/>
      <c r="E1096" s="2099"/>
      <c r="F1096" s="2099"/>
      <c r="G1096" s="2101" t="s">
        <v>703</v>
      </c>
      <c r="H1096" s="2099"/>
      <c r="I1096" s="2099"/>
      <c r="J1096" s="2099" t="str">
        <f ca="1">"T*"&amp;'THCP xay dung'!F224*100&amp;"%"</f>
        <v>T*2%</v>
      </c>
      <c r="K1096" s="2103"/>
      <c r="L1096" s="2104"/>
      <c r="M1096" s="2105">
        <f ca="1">M1093*'THCP xay dung'!F224*100%</f>
        <v>276.68</v>
      </c>
      <c r="N1096" s="2106"/>
      <c r="O1096" s="2106"/>
      <c r="P1096" s="1952"/>
      <c r="Q1096" s="2025"/>
      <c r="R1096" s="2025"/>
      <c r="S1096" s="2025"/>
    </row>
    <row r="1097" spans="1:19" s="474" customFormat="1" ht="15" hidden="1">
      <c r="A1097" s="2099"/>
      <c r="B1097" s="2100"/>
      <c r="C1097" s="2100"/>
      <c r="D1097" s="2100"/>
      <c r="E1097" s="2099"/>
      <c r="F1097" s="2099"/>
      <c r="G1097" s="2101" t="s">
        <v>701</v>
      </c>
      <c r="H1097" s="2099"/>
      <c r="I1097" s="2099"/>
      <c r="J1097" s="2099" t="s">
        <v>931</v>
      </c>
      <c r="K1097" s="2103"/>
      <c r="L1097" s="2104"/>
      <c r="M1097" s="2105">
        <f ca="1">M1094+M1095+M1096</f>
        <v>1286.5619999999999</v>
      </c>
      <c r="N1097" s="2106"/>
      <c r="O1097" s="2106"/>
      <c r="P1097" s="1952"/>
      <c r="Q1097" s="2025"/>
      <c r="R1097" s="2025"/>
      <c r="S1097" s="2025"/>
    </row>
    <row r="1098" spans="1:19" s="474" customFormat="1" ht="15" hidden="1">
      <c r="A1098" s="2099"/>
      <c r="B1098" s="2100"/>
      <c r="C1098" s="2100"/>
      <c r="D1098" s="2100"/>
      <c r="E1098" s="2099"/>
      <c r="F1098" s="2099"/>
      <c r="G1098" s="2101" t="s">
        <v>574</v>
      </c>
      <c r="H1098" s="2099"/>
      <c r="I1098" s="2099"/>
      <c r="J1098" s="2099" t="str">
        <f ca="1">"(T+GT)*"&amp;'THCP xay dung'!F226*100&amp;"%"</f>
        <v>(T+GT)*6%</v>
      </c>
      <c r="K1098" s="2103"/>
      <c r="L1098" s="2104"/>
      <c r="M1098" s="2105">
        <f ca="1">(M1093+M1097)*'THCP xay dung'!F226*100%</f>
        <v>907.23371999999995</v>
      </c>
      <c r="N1098" s="2106"/>
      <c r="O1098" s="2106"/>
      <c r="P1098" s="1952"/>
      <c r="Q1098" s="2025"/>
      <c r="R1098" s="2025"/>
      <c r="S1098" s="2025"/>
    </row>
    <row r="1099" spans="1:19" s="474" customFormat="1" ht="15" hidden="1">
      <c r="A1099" s="2099"/>
      <c r="B1099" s="2100"/>
      <c r="C1099" s="2100"/>
      <c r="D1099" s="2100"/>
      <c r="E1099" s="2099"/>
      <c r="F1099" s="2099"/>
      <c r="G1099" s="2101" t="s">
        <v>113</v>
      </c>
      <c r="H1099" s="2099"/>
      <c r="I1099" s="2099"/>
      <c r="J1099" s="2099" t="s">
        <v>705</v>
      </c>
      <c r="K1099" s="2103"/>
      <c r="L1099" s="2104"/>
      <c r="M1099" s="2105">
        <f ca="1">M1093+M1097+M1098</f>
        <v>16027.79572</v>
      </c>
      <c r="N1099" s="2106"/>
      <c r="O1099" s="2106"/>
      <c r="P1099" s="1952"/>
      <c r="Q1099" s="2025"/>
      <c r="R1099" s="2025"/>
      <c r="S1099" s="2025"/>
    </row>
    <row r="1100" spans="1:19" s="474" customFormat="1" ht="15" hidden="1">
      <c r="A1100" s="2099"/>
      <c r="B1100" s="2100"/>
      <c r="C1100" s="2100"/>
      <c r="D1100" s="2100"/>
      <c r="E1100" s="2099"/>
      <c r="F1100" s="2099"/>
      <c r="G1100" s="2101" t="s">
        <v>575</v>
      </c>
      <c r="H1100" s="2099"/>
      <c r="I1100" s="2099"/>
      <c r="J1100" s="2099" t="str">
        <f>"G*"&amp;'THCP xay dung'!F228*100&amp;"%"</f>
        <v>G*10%</v>
      </c>
      <c r="K1100" s="2103"/>
      <c r="L1100" s="2104"/>
      <c r="M1100" s="2105">
        <f ca="1">M1099*'THCP xay dung'!F228*100%</f>
        <v>1602.7795720000001</v>
      </c>
      <c r="N1100" s="2106"/>
      <c r="O1100" s="2106"/>
      <c r="P1100" s="1952"/>
      <c r="Q1100" s="2025"/>
      <c r="R1100" s="2025"/>
      <c r="S1100" s="2025"/>
    </row>
    <row r="1101" spans="1:19" s="474" customFormat="1" ht="15" hidden="1">
      <c r="A1101" s="2099"/>
      <c r="B1101" s="2100"/>
      <c r="C1101" s="2100"/>
      <c r="D1101" s="2100"/>
      <c r="E1101" s="2099"/>
      <c r="F1101" s="2099"/>
      <c r="G1101" s="2101" t="s">
        <v>117</v>
      </c>
      <c r="H1101" s="2099"/>
      <c r="I1101" s="2099"/>
      <c r="J1101" s="2099" t="s">
        <v>596</v>
      </c>
      <c r="K1101" s="2103"/>
      <c r="L1101" s="2104"/>
      <c r="M1101" s="2105">
        <f ca="1">M1099+M1100</f>
        <v>17630.575292000001</v>
      </c>
      <c r="N1101" s="2106"/>
      <c r="O1101" s="2106"/>
      <c r="P1101" s="1952"/>
      <c r="Q1101" s="2025"/>
      <c r="R1101" s="2025"/>
      <c r="S1101" s="2025"/>
    </row>
    <row r="1102" spans="1:19" s="474" customFormat="1" ht="15" hidden="1">
      <c r="A1102" s="2099"/>
      <c r="B1102" s="2100"/>
      <c r="C1102" s="2100"/>
      <c r="D1102" s="2100"/>
      <c r="E1102" s="2099"/>
      <c r="F1102" s="2099"/>
      <c r="G1102" s="2101" t="s">
        <v>168</v>
      </c>
      <c r="H1102" s="2099"/>
      <c r="I1102" s="2099"/>
      <c r="J1102" s="2099" t="str">
        <f ca="1">"GXD*"&amp;'THCP xay dung'!F230*100&amp;"%"</f>
        <v>GXD*6%</v>
      </c>
      <c r="K1102" s="2103"/>
      <c r="L1102" s="2104"/>
      <c r="M1102" s="2105">
        <f ca="1">M1101*'THCP xay dung'!F230*100%</f>
        <v>1057.83451752</v>
      </c>
      <c r="N1102" s="2106"/>
      <c r="O1102" s="2106"/>
      <c r="P1102" s="1952"/>
      <c r="Q1102" s="2025"/>
      <c r="R1102" s="2025"/>
      <c r="S1102" s="2025"/>
    </row>
    <row r="1103" spans="1:19" s="474" customFormat="1" ht="15" hidden="1">
      <c r="A1103" s="2122" t="s">
        <v>304</v>
      </c>
      <c r="B1103" s="2123"/>
      <c r="C1103" s="2123"/>
      <c r="D1103" s="2123"/>
      <c r="E1103" s="2122"/>
      <c r="F1103" s="2122"/>
      <c r="G1103" s="2109" t="s">
        <v>1837</v>
      </c>
      <c r="H1103" s="2107"/>
      <c r="I1103" s="2107"/>
      <c r="J1103" s="2107" t="s">
        <v>1636</v>
      </c>
      <c r="K1103" s="2110"/>
      <c r="L1103" s="2111"/>
      <c r="M1103" s="2112">
        <f ca="1">M1101+M1102</f>
        <v>18688.409809520002</v>
      </c>
      <c r="N1103" s="2113"/>
      <c r="O1103" s="2113"/>
      <c r="P1103" s="1952"/>
      <c r="Q1103" s="2025"/>
      <c r="R1103" s="2025"/>
      <c r="S1103" s="2025"/>
    </row>
    <row r="1104" spans="1:19" s="474" customFormat="1" ht="15">
      <c r="A1104" s="2159">
        <v>118</v>
      </c>
      <c r="B1104" s="2160">
        <f>'Du toan XD'!B329</f>
        <v>17</v>
      </c>
      <c r="C1104" s="2160"/>
      <c r="D1104" s="2160" t="s">
        <v>1584</v>
      </c>
      <c r="E1104" s="2159" t="s">
        <v>1584</v>
      </c>
      <c r="F1104" s="2159"/>
      <c r="G1104" s="2165" t="str">
        <f>'Du toan XD'!F329</f>
        <v>Ống PVC D20</v>
      </c>
      <c r="H1104" s="2159" t="str">
        <f>'Du toan XD'!G329</f>
        <v>m</v>
      </c>
      <c r="I1104" s="2159">
        <f>'Du toan XD'!H329</f>
        <v>61</v>
      </c>
      <c r="J1104" s="2161"/>
      <c r="K1104" s="2162"/>
      <c r="L1104" s="2163"/>
      <c r="M1104" s="2162"/>
      <c r="N1104" s="2164"/>
      <c r="O1104" s="2164"/>
      <c r="P1104" s="1952">
        <f>M1105</f>
        <v>9491</v>
      </c>
      <c r="Q1104" s="2025"/>
      <c r="R1104" s="2025">
        <f>M1108</f>
        <v>34275</v>
      </c>
      <c r="S1104" s="2025">
        <f>M1110</f>
        <v>151</v>
      </c>
    </row>
    <row r="1105" spans="1:19" s="474" customFormat="1" ht="15">
      <c r="A1105" s="2099"/>
      <c r="B1105" s="2100"/>
      <c r="C1105" s="2100"/>
      <c r="D1105" s="2100"/>
      <c r="E1105" s="2099"/>
      <c r="F1105" s="2099"/>
      <c r="G1105" s="2116" t="s">
        <v>224</v>
      </c>
      <c r="H1105" s="2116"/>
      <c r="I1105" s="2116"/>
      <c r="J1105" s="2120"/>
      <c r="K1105" s="2118"/>
      <c r="L1105" s="2119"/>
      <c r="M1105" s="2118">
        <f>ROUND(SUM(M1106:M1107),Config!C103)</f>
        <v>9491</v>
      </c>
      <c r="N1105" s="2106"/>
      <c r="O1105" s="2106"/>
      <c r="P1105" s="1952"/>
      <c r="Q1105" s="2025"/>
      <c r="R1105" s="2025"/>
      <c r="S1105" s="2025"/>
    </row>
    <row r="1106" spans="1:19" s="474" customFormat="1" ht="15">
      <c r="A1106" s="2099"/>
      <c r="B1106" s="2100"/>
      <c r="C1106" s="2100"/>
      <c r="D1106" s="2100"/>
      <c r="E1106" s="2099"/>
      <c r="F1106" s="2099" t="s">
        <v>2028</v>
      </c>
      <c r="G1106" s="2115" t="s">
        <v>2029</v>
      </c>
      <c r="H1106" s="2099" t="s">
        <v>2021</v>
      </c>
      <c r="I1106" s="2099"/>
      <c r="J1106" s="2102">
        <v>1.02</v>
      </c>
      <c r="K1106" s="2171">
        <f>'TH vat tu XD'!G193</f>
        <v>8091</v>
      </c>
      <c r="L1106" s="2104"/>
      <c r="M1106" s="2103">
        <f>IF(L1106=0,J1106*K1106,J1106*K1106*L1106)</f>
        <v>8252.82</v>
      </c>
      <c r="N1106" s="2106">
        <f>IF(L1106=0,I1104*J1106,I1104*J1106*L1106)</f>
        <v>62.22</v>
      </c>
      <c r="O1106" s="2106">
        <f>J1107%*N1106</f>
        <v>9.3330000000000002</v>
      </c>
      <c r="P1106" s="1952"/>
      <c r="Q1106" s="2025"/>
      <c r="R1106" s="2025"/>
      <c r="S1106" s="2025"/>
    </row>
    <row r="1107" spans="1:19" s="474" customFormat="1" ht="15">
      <c r="A1107" s="2099"/>
      <c r="B1107" s="2100"/>
      <c r="C1107" s="2100"/>
      <c r="D1107" s="2100"/>
      <c r="E1107" s="2099"/>
      <c r="F1107" s="2099" t="s">
        <v>1882</v>
      </c>
      <c r="G1107" s="2115" t="s">
        <v>226</v>
      </c>
      <c r="H1107" s="2099" t="s">
        <v>1850</v>
      </c>
      <c r="I1107" s="2099"/>
      <c r="J1107" s="2102">
        <v>15</v>
      </c>
      <c r="K1107" s="2103"/>
      <c r="L1107" s="2104"/>
      <c r="M1107" s="2103">
        <f>SUM(M1106:M1106)*J1107%</f>
        <v>1237.923</v>
      </c>
      <c r="N1107" s="2106"/>
      <c r="O1107" s="2106"/>
      <c r="P1107" s="1952"/>
      <c r="Q1107" s="2025"/>
      <c r="R1107" s="2025"/>
      <c r="S1107" s="2025"/>
    </row>
    <row r="1108" spans="1:19" s="474" customFormat="1" ht="15">
      <c r="A1108" s="2099"/>
      <c r="B1108" s="2100"/>
      <c r="C1108" s="2100"/>
      <c r="D1108" s="2100"/>
      <c r="E1108" s="2099"/>
      <c r="F1108" s="2099"/>
      <c r="G1108" s="2116" t="s">
        <v>225</v>
      </c>
      <c r="H1108" s="2116"/>
      <c r="I1108" s="2116"/>
      <c r="J1108" s="2120"/>
      <c r="K1108" s="2118"/>
      <c r="L1108" s="2119"/>
      <c r="M1108" s="2118">
        <f>ROUND(SUM(M1109:M1109),Config!C103)</f>
        <v>34275</v>
      </c>
      <c r="N1108" s="2106"/>
      <c r="O1108" s="2106"/>
      <c r="P1108" s="1952"/>
      <c r="Q1108" s="2025"/>
      <c r="R1108" s="2025"/>
      <c r="S1108" s="2025"/>
    </row>
    <row r="1109" spans="1:19" s="474" customFormat="1" ht="15">
      <c r="A1109" s="2099"/>
      <c r="B1109" s="2100"/>
      <c r="C1109" s="2100"/>
      <c r="D1109" s="2100"/>
      <c r="E1109" s="2099"/>
      <c r="F1109" s="2099" t="s">
        <v>1866</v>
      </c>
      <c r="G1109" s="2115" t="s">
        <v>1867</v>
      </c>
      <c r="H1109" s="2099" t="s">
        <v>1833</v>
      </c>
      <c r="I1109" s="2099"/>
      <c r="J1109" s="2102">
        <v>0.15</v>
      </c>
      <c r="K1109" s="2171">
        <f>'TH vat tu XD'!G196</f>
        <v>228500</v>
      </c>
      <c r="L1109" s="2104"/>
      <c r="M1109" s="2103">
        <f>IF(L1109=0,J1109*K1109,J1109*K1109*L1109)</f>
        <v>34275</v>
      </c>
      <c r="N1109" s="2106">
        <f>IF(L1109=0,I1104*J1109,I1104*J1109*L1109)</f>
        <v>9.15</v>
      </c>
      <c r="O1109" s="2106"/>
      <c r="P1109" s="1952"/>
      <c r="Q1109" s="2025"/>
      <c r="R1109" s="2025"/>
      <c r="S1109" s="2025"/>
    </row>
    <row r="1110" spans="1:19" s="474" customFormat="1" ht="15">
      <c r="A1110" s="2099"/>
      <c r="B1110" s="2100"/>
      <c r="C1110" s="2100"/>
      <c r="D1110" s="2100"/>
      <c r="E1110" s="2099"/>
      <c r="F1110" s="2099"/>
      <c r="G1110" s="2116" t="s">
        <v>228</v>
      </c>
      <c r="H1110" s="2116"/>
      <c r="I1110" s="2116"/>
      <c r="J1110" s="2120"/>
      <c r="K1110" s="2118"/>
      <c r="L1110" s="2119"/>
      <c r="M1110" s="2118">
        <f>ROUND(SUM(M1111:M1111),Config!C103)</f>
        <v>151</v>
      </c>
      <c r="N1110" s="2106"/>
      <c r="O1110" s="2106"/>
      <c r="P1110" s="1952"/>
      <c r="Q1110" s="2025"/>
      <c r="R1110" s="2025"/>
      <c r="S1110" s="2025"/>
    </row>
    <row r="1111" spans="1:19" s="474" customFormat="1" ht="30">
      <c r="A1111" s="2099"/>
      <c r="B1111" s="2100"/>
      <c r="C1111" s="2100"/>
      <c r="D1111" s="2100"/>
      <c r="E1111" s="2099"/>
      <c r="F1111" s="2099" t="s">
        <v>1998</v>
      </c>
      <c r="G1111" s="2115" t="s">
        <v>1999</v>
      </c>
      <c r="H1111" s="2099" t="s">
        <v>1836</v>
      </c>
      <c r="I1111" s="2099"/>
      <c r="J1111" s="2102">
        <v>0.01</v>
      </c>
      <c r="K1111" s="2171">
        <f>'TH vat tu XD'!G198</f>
        <v>15072</v>
      </c>
      <c r="L1111" s="2104"/>
      <c r="M1111" s="2103">
        <f>IF(L1111=0,J1111*K1111,J1111*K1111*L1111)</f>
        <v>150.72</v>
      </c>
      <c r="N1111" s="2106">
        <f>IF(L1111=0,I1104*J1111,I1104*J1111*L1111)</f>
        <v>0.61</v>
      </c>
      <c r="O1111" s="2106"/>
      <c r="P1111" s="1952"/>
      <c r="Q1111" s="2025"/>
      <c r="R1111" s="2025"/>
      <c r="S1111" s="2025"/>
    </row>
    <row r="1112" spans="1:19" s="474" customFormat="1" ht="15" hidden="1">
      <c r="A1112" s="2099"/>
      <c r="B1112" s="2100"/>
      <c r="C1112" s="2100"/>
      <c r="D1112" s="2100"/>
      <c r="E1112" s="2099"/>
      <c r="F1112" s="2099"/>
      <c r="G1112" s="2101" t="s">
        <v>109</v>
      </c>
      <c r="H1112" s="2099"/>
      <c r="I1112" s="2099"/>
      <c r="J1112" s="2099" t="s">
        <v>333</v>
      </c>
      <c r="K1112" s="2103"/>
      <c r="L1112" s="2104"/>
      <c r="M1112" s="2105">
        <f>M1105+M1108+M1110</f>
        <v>43917</v>
      </c>
      <c r="N1112" s="2106"/>
      <c r="O1112" s="2106"/>
      <c r="P1112" s="1952"/>
      <c r="Q1112" s="2025"/>
      <c r="R1112" s="2025"/>
      <c r="S1112" s="2025"/>
    </row>
    <row r="1113" spans="1:19" s="474" customFormat="1" ht="15" hidden="1">
      <c r="A1113" s="2099"/>
      <c r="B1113" s="2100"/>
      <c r="C1113" s="2100"/>
      <c r="D1113" s="2100"/>
      <c r="E1113" s="2099"/>
      <c r="F1113" s="2099"/>
      <c r="G1113" s="2101" t="s">
        <v>378</v>
      </c>
      <c r="H1113" s="2099"/>
      <c r="I1113" s="2099"/>
      <c r="J1113" s="2099" t="str">
        <f ca="1">"T*"&amp;'THCP xay dung'!F222*100&amp;"%"</f>
        <v>T*6,2%</v>
      </c>
      <c r="K1113" s="2103"/>
      <c r="L1113" s="2104"/>
      <c r="M1113" s="2105">
        <f ca="1">M1112*'THCP xay dung'!F222*100%</f>
        <v>2722.8539999999998</v>
      </c>
      <c r="N1113" s="2106"/>
      <c r="O1113" s="2106"/>
      <c r="P1113" s="1952"/>
      <c r="Q1113" s="2025"/>
      <c r="R1113" s="2025"/>
      <c r="S1113" s="2025"/>
    </row>
    <row r="1114" spans="1:19" s="474" customFormat="1" ht="28.5" hidden="1">
      <c r="A1114" s="2099"/>
      <c r="B1114" s="2100"/>
      <c r="C1114" s="2100"/>
      <c r="D1114" s="2100"/>
      <c r="E1114" s="2099"/>
      <c r="F1114" s="2099"/>
      <c r="G1114" s="2101" t="s">
        <v>702</v>
      </c>
      <c r="H1114" s="2099"/>
      <c r="I1114" s="2099"/>
      <c r="J1114" s="2099" t="str">
        <f>IF('THCP xay dung'!G223&lt;&gt;1,"T*"&amp;'THCP xay dung'!F223*100&amp;"%"&amp;"*"&amp;'THCP xay dung'!G223,"T*"&amp;'THCP xay dung'!F223*100&amp;"%")</f>
        <v>T*1,1%</v>
      </c>
      <c r="K1114" s="2103"/>
      <c r="L1114" s="2104"/>
      <c r="M1114" s="2105">
        <f>IF('THCP xay dung'!G223&lt;&gt;1,M1112*'THCP xay dung'!F223*100%*'THCP xay dung'!G223,M1112*'THCP xay dung'!F223*100%)</f>
        <v>483.08700000000005</v>
      </c>
      <c r="N1114" s="2106"/>
      <c r="O1114" s="2106"/>
      <c r="P1114" s="1952"/>
      <c r="Q1114" s="2025"/>
      <c r="R1114" s="2025"/>
      <c r="S1114" s="2025"/>
    </row>
    <row r="1115" spans="1:19" s="474" customFormat="1" ht="42.75" hidden="1">
      <c r="A1115" s="2099"/>
      <c r="B1115" s="2100"/>
      <c r="C1115" s="2100"/>
      <c r="D1115" s="2100"/>
      <c r="E1115" s="2099"/>
      <c r="F1115" s="2099"/>
      <c r="G1115" s="2101" t="s">
        <v>703</v>
      </c>
      <c r="H1115" s="2099"/>
      <c r="I1115" s="2099"/>
      <c r="J1115" s="2099" t="str">
        <f ca="1">"T*"&amp;'THCP xay dung'!F224*100&amp;"%"</f>
        <v>T*2%</v>
      </c>
      <c r="K1115" s="2103"/>
      <c r="L1115" s="2104"/>
      <c r="M1115" s="2105">
        <f ca="1">M1112*'THCP xay dung'!F224*100%</f>
        <v>878.34</v>
      </c>
      <c r="N1115" s="2106"/>
      <c r="O1115" s="2106"/>
      <c r="P1115" s="1952"/>
      <c r="Q1115" s="2025"/>
      <c r="R1115" s="2025"/>
      <c r="S1115" s="2025"/>
    </row>
    <row r="1116" spans="1:19" s="474" customFormat="1" ht="15" hidden="1">
      <c r="A1116" s="2099"/>
      <c r="B1116" s="2100"/>
      <c r="C1116" s="2100"/>
      <c r="D1116" s="2100"/>
      <c r="E1116" s="2099"/>
      <c r="F1116" s="2099"/>
      <c r="G1116" s="2101" t="s">
        <v>701</v>
      </c>
      <c r="H1116" s="2099"/>
      <c r="I1116" s="2099"/>
      <c r="J1116" s="2099" t="s">
        <v>931</v>
      </c>
      <c r="K1116" s="2103"/>
      <c r="L1116" s="2104"/>
      <c r="M1116" s="2105">
        <f ca="1">M1113+M1114+M1115</f>
        <v>4084.2809999999999</v>
      </c>
      <c r="N1116" s="2106"/>
      <c r="O1116" s="2106"/>
      <c r="P1116" s="1952"/>
      <c r="Q1116" s="2025"/>
      <c r="R1116" s="2025"/>
      <c r="S1116" s="2025"/>
    </row>
    <row r="1117" spans="1:19" s="474" customFormat="1" ht="15" hidden="1">
      <c r="A1117" s="2099"/>
      <c r="B1117" s="2100"/>
      <c r="C1117" s="2100"/>
      <c r="D1117" s="2100"/>
      <c r="E1117" s="2099"/>
      <c r="F1117" s="2099"/>
      <c r="G1117" s="2101" t="s">
        <v>574</v>
      </c>
      <c r="H1117" s="2099"/>
      <c r="I1117" s="2099"/>
      <c r="J1117" s="2099" t="str">
        <f ca="1">"(T+GT)*"&amp;'THCP xay dung'!F226*100&amp;"%"</f>
        <v>(T+GT)*6%</v>
      </c>
      <c r="K1117" s="2103"/>
      <c r="L1117" s="2104"/>
      <c r="M1117" s="2105">
        <f ca="1">(M1112+M1116)*'THCP xay dung'!F226*100%</f>
        <v>2880.0768600000001</v>
      </c>
      <c r="N1117" s="2106"/>
      <c r="O1117" s="2106"/>
      <c r="P1117" s="1952"/>
      <c r="Q1117" s="2025"/>
      <c r="R1117" s="2025"/>
      <c r="S1117" s="2025"/>
    </row>
    <row r="1118" spans="1:19" s="474" customFormat="1" ht="15" hidden="1">
      <c r="A1118" s="2099"/>
      <c r="B1118" s="2100"/>
      <c r="C1118" s="2100"/>
      <c r="D1118" s="2100"/>
      <c r="E1118" s="2099"/>
      <c r="F1118" s="2099"/>
      <c r="G1118" s="2101" t="s">
        <v>113</v>
      </c>
      <c r="H1118" s="2099"/>
      <c r="I1118" s="2099"/>
      <c r="J1118" s="2099" t="s">
        <v>705</v>
      </c>
      <c r="K1118" s="2103"/>
      <c r="L1118" s="2104"/>
      <c r="M1118" s="2105">
        <f ca="1">M1112+M1116+M1117</f>
        <v>50881.357860000004</v>
      </c>
      <c r="N1118" s="2106"/>
      <c r="O1118" s="2106"/>
      <c r="P1118" s="1952"/>
      <c r="Q1118" s="2025"/>
      <c r="R1118" s="2025"/>
      <c r="S1118" s="2025"/>
    </row>
    <row r="1119" spans="1:19" s="474" customFormat="1" ht="15" hidden="1">
      <c r="A1119" s="2099"/>
      <c r="B1119" s="2100"/>
      <c r="C1119" s="2100"/>
      <c r="D1119" s="2100"/>
      <c r="E1119" s="2099"/>
      <c r="F1119" s="2099"/>
      <c r="G1119" s="2101" t="s">
        <v>575</v>
      </c>
      <c r="H1119" s="2099"/>
      <c r="I1119" s="2099"/>
      <c r="J1119" s="2099" t="str">
        <f>"G*"&amp;'THCP xay dung'!F228*100&amp;"%"</f>
        <v>G*10%</v>
      </c>
      <c r="K1119" s="2103"/>
      <c r="L1119" s="2104"/>
      <c r="M1119" s="2105">
        <f ca="1">M1118*'THCP xay dung'!F228*100%</f>
        <v>5088.1357860000007</v>
      </c>
      <c r="N1119" s="2106"/>
      <c r="O1119" s="2106"/>
      <c r="P1119" s="1952"/>
      <c r="Q1119" s="2025"/>
      <c r="R1119" s="2025"/>
      <c r="S1119" s="2025"/>
    </row>
    <row r="1120" spans="1:19" s="474" customFormat="1" ht="15" hidden="1">
      <c r="A1120" s="2099"/>
      <c r="B1120" s="2100"/>
      <c r="C1120" s="2100"/>
      <c r="D1120" s="2100"/>
      <c r="E1120" s="2099"/>
      <c r="F1120" s="2099"/>
      <c r="G1120" s="2101" t="s">
        <v>117</v>
      </c>
      <c r="H1120" s="2099"/>
      <c r="I1120" s="2099"/>
      <c r="J1120" s="2099" t="s">
        <v>596</v>
      </c>
      <c r="K1120" s="2103"/>
      <c r="L1120" s="2104"/>
      <c r="M1120" s="2105">
        <f ca="1">M1118+M1119</f>
        <v>55969.493646000003</v>
      </c>
      <c r="N1120" s="2106"/>
      <c r="O1120" s="2106"/>
      <c r="P1120" s="1952"/>
      <c r="Q1120" s="2025"/>
      <c r="R1120" s="2025"/>
      <c r="S1120" s="2025"/>
    </row>
    <row r="1121" spans="1:19" s="474" customFormat="1" ht="15" hidden="1">
      <c r="A1121" s="2099"/>
      <c r="B1121" s="2100"/>
      <c r="C1121" s="2100"/>
      <c r="D1121" s="2100"/>
      <c r="E1121" s="2099"/>
      <c r="F1121" s="2099"/>
      <c r="G1121" s="2101" t="s">
        <v>168</v>
      </c>
      <c r="H1121" s="2099"/>
      <c r="I1121" s="2099"/>
      <c r="J1121" s="2099" t="str">
        <f ca="1">"GXD*"&amp;'THCP xay dung'!F230*100&amp;"%"</f>
        <v>GXD*6%</v>
      </c>
      <c r="K1121" s="2103"/>
      <c r="L1121" s="2104"/>
      <c r="M1121" s="2105">
        <f ca="1">M1120*'THCP xay dung'!F230*100%</f>
        <v>3358.16961876</v>
      </c>
      <c r="N1121" s="2106"/>
      <c r="O1121" s="2106"/>
      <c r="P1121" s="1952"/>
      <c r="Q1121" s="2025"/>
      <c r="R1121" s="2025"/>
      <c r="S1121" s="2025"/>
    </row>
    <row r="1122" spans="1:19" s="474" customFormat="1" ht="15" hidden="1">
      <c r="A1122" s="2107" t="s">
        <v>304</v>
      </c>
      <c r="B1122" s="2108"/>
      <c r="C1122" s="2108"/>
      <c r="D1122" s="2108"/>
      <c r="E1122" s="2107"/>
      <c r="F1122" s="2107"/>
      <c r="G1122" s="2109" t="s">
        <v>1837</v>
      </c>
      <c r="H1122" s="2107"/>
      <c r="I1122" s="2107"/>
      <c r="J1122" s="2107" t="s">
        <v>1636</v>
      </c>
      <c r="K1122" s="2110"/>
      <c r="L1122" s="2111"/>
      <c r="M1122" s="2112">
        <f ca="1">M1120+M1121</f>
        <v>59327.663264760005</v>
      </c>
      <c r="N1122" s="2113"/>
      <c r="O1122" s="2113"/>
      <c r="P1122" s="1952"/>
      <c r="Q1122" s="2025"/>
      <c r="R1122" s="2025"/>
      <c r="S1122" s="2025"/>
    </row>
    <row r="1123" spans="1:19">
      <c r="A1123" s="1931"/>
      <c r="B1123" s="1931"/>
      <c r="C1123" s="1931"/>
      <c r="D1123" s="1931"/>
      <c r="E1123" s="1932"/>
      <c r="F1123" s="1933"/>
      <c r="G1123" s="1934"/>
      <c r="H1123" s="1934"/>
      <c r="I1123" s="1957"/>
      <c r="J1123" s="1931"/>
      <c r="K1123" s="1935"/>
      <c r="L1123" s="1931"/>
      <c r="M1123" s="1935"/>
      <c r="N1123" s="1936"/>
      <c r="O1123" s="1936"/>
    </row>
    <row r="1146" spans="1:15">
      <c r="A1146" s="1594"/>
      <c r="B1146" s="1594"/>
      <c r="C1146" s="1594"/>
      <c r="D1146" s="1594"/>
      <c r="E1146" s="2275"/>
      <c r="F1146" s="2276"/>
      <c r="G1146" s="2277"/>
      <c r="H1146" s="2278"/>
      <c r="I1146" s="2279"/>
      <c r="J1146" s="1595"/>
      <c r="K1146" s="2280"/>
      <c r="L1146" s="1595"/>
      <c r="M1146" s="2280"/>
      <c r="N1146" s="2281"/>
      <c r="O1146" s="2281"/>
    </row>
    <row r="1169" spans="1:15">
      <c r="A1169" s="1594"/>
      <c r="B1169" s="1594"/>
      <c r="C1169" s="1594"/>
      <c r="D1169" s="1594"/>
      <c r="E1169" s="2275"/>
      <c r="F1169" s="2276"/>
      <c r="G1169" s="2277"/>
      <c r="H1169" s="2278"/>
      <c r="I1169" s="2279"/>
      <c r="J1169" s="1595"/>
      <c r="K1169" s="2280"/>
      <c r="L1169" s="1595"/>
      <c r="M1169" s="2280"/>
      <c r="N1169" s="2281"/>
      <c r="O1169" s="2281"/>
    </row>
    <row r="1192" spans="1:15">
      <c r="A1192" s="1594"/>
      <c r="B1192" s="1594"/>
      <c r="C1192" s="1594"/>
      <c r="D1192" s="1594"/>
      <c r="E1192" s="2275"/>
      <c r="F1192" s="2276"/>
      <c r="G1192" s="2277"/>
      <c r="H1192" s="2278"/>
      <c r="I1192" s="2279"/>
      <c r="J1192" s="1595"/>
      <c r="K1192" s="2280"/>
      <c r="L1192" s="1595"/>
      <c r="M1192" s="2280"/>
      <c r="N1192" s="2281"/>
      <c r="O1192" s="2281"/>
    </row>
    <row r="1216" spans="1:15">
      <c r="A1216" s="1594"/>
      <c r="B1216" s="1594"/>
      <c r="C1216" s="1594"/>
      <c r="D1216" s="1594"/>
      <c r="E1216" s="2275"/>
      <c r="F1216" s="2276"/>
      <c r="G1216" s="2277"/>
      <c r="H1216" s="2278"/>
      <c r="I1216" s="2279"/>
      <c r="J1216" s="1595"/>
      <c r="K1216" s="2280"/>
      <c r="L1216" s="1595"/>
      <c r="M1216" s="2280"/>
      <c r="N1216" s="2281"/>
      <c r="O1216" s="2281"/>
    </row>
    <row r="1238" spans="1:15">
      <c r="A1238" s="1594"/>
      <c r="B1238" s="1594"/>
      <c r="C1238" s="1594"/>
      <c r="D1238" s="1594"/>
      <c r="E1238" s="2275"/>
      <c r="F1238" s="2276"/>
      <c r="G1238" s="2277"/>
      <c r="H1238" s="2278"/>
      <c r="I1238" s="2279"/>
      <c r="J1238" s="1595"/>
      <c r="K1238" s="2280"/>
      <c r="L1238" s="1595"/>
      <c r="M1238" s="2280"/>
      <c r="N1238" s="2281"/>
      <c r="O1238" s="2281"/>
    </row>
    <row r="1260" spans="1:15">
      <c r="A1260" s="1594"/>
      <c r="B1260" s="1594"/>
      <c r="C1260" s="1594"/>
      <c r="D1260" s="1594"/>
      <c r="E1260" s="2275"/>
      <c r="F1260" s="2276"/>
      <c r="G1260" s="2277"/>
      <c r="H1260" s="2278"/>
      <c r="I1260" s="2279"/>
      <c r="J1260" s="1595"/>
      <c r="K1260" s="2280"/>
      <c r="L1260" s="1595"/>
      <c r="M1260" s="2280"/>
      <c r="N1260" s="2281"/>
      <c r="O1260" s="2281"/>
    </row>
    <row r="1281" spans="1:15">
      <c r="A1281" s="1594"/>
      <c r="B1281" s="1594"/>
      <c r="C1281" s="1594"/>
      <c r="D1281" s="1594"/>
      <c r="E1281" s="2275"/>
      <c r="F1281" s="2276"/>
      <c r="G1281" s="2277"/>
      <c r="H1281" s="2278"/>
      <c r="I1281" s="2279"/>
      <c r="J1281" s="1595"/>
      <c r="K1281" s="2280"/>
      <c r="L1281" s="1595"/>
      <c r="M1281" s="2280"/>
      <c r="N1281" s="2281"/>
      <c r="O1281" s="2281"/>
    </row>
    <row r="1302" spans="1:15">
      <c r="A1302" s="1594"/>
      <c r="B1302" s="1594"/>
      <c r="C1302" s="1594"/>
      <c r="D1302" s="1594"/>
      <c r="E1302" s="2275"/>
      <c r="F1302" s="2276"/>
      <c r="G1302" s="2277"/>
      <c r="H1302" s="2278"/>
      <c r="I1302" s="2279"/>
      <c r="J1302" s="1595"/>
      <c r="K1302" s="2280"/>
      <c r="L1302" s="1595"/>
      <c r="M1302" s="2280"/>
      <c r="N1302" s="2281"/>
      <c r="O1302" s="2281"/>
    </row>
    <row r="1323" spans="1:15">
      <c r="A1323" s="1594"/>
      <c r="B1323" s="1594"/>
      <c r="C1323" s="1594"/>
      <c r="D1323" s="1594"/>
      <c r="E1323" s="2275"/>
      <c r="F1323" s="2276"/>
      <c r="G1323" s="2277"/>
      <c r="H1323" s="2278"/>
      <c r="I1323" s="2279"/>
      <c r="J1323" s="1595"/>
      <c r="K1323" s="2280"/>
      <c r="L1323" s="1595"/>
      <c r="M1323" s="2280"/>
      <c r="N1323" s="2281"/>
      <c r="O1323" s="2281"/>
    </row>
    <row r="1344" spans="1:15">
      <c r="A1344" s="1594"/>
      <c r="B1344" s="1594"/>
      <c r="C1344" s="1594"/>
      <c r="D1344" s="1594"/>
      <c r="E1344" s="2275"/>
      <c r="F1344" s="2276"/>
      <c r="G1344" s="2277"/>
      <c r="H1344" s="2278"/>
      <c r="I1344" s="2279"/>
      <c r="J1344" s="1595"/>
      <c r="K1344" s="2280"/>
      <c r="L1344" s="1595"/>
      <c r="M1344" s="2280"/>
      <c r="N1344" s="2281"/>
      <c r="O1344" s="2281"/>
    </row>
    <row r="1365" spans="1:15">
      <c r="A1365" s="1594"/>
      <c r="B1365" s="1594"/>
      <c r="C1365" s="1594"/>
      <c r="D1365" s="1594"/>
      <c r="E1365" s="2275"/>
      <c r="F1365" s="2276"/>
      <c r="G1365" s="2277"/>
      <c r="H1365" s="2278"/>
      <c r="I1365" s="2279"/>
      <c r="J1365" s="1595"/>
      <c r="K1365" s="2280"/>
      <c r="L1365" s="1595"/>
      <c r="M1365" s="2280"/>
      <c r="N1365" s="2281"/>
      <c r="O1365" s="2281"/>
    </row>
    <row r="1386" spans="1:15">
      <c r="A1386" s="1594"/>
      <c r="B1386" s="1594"/>
      <c r="C1386" s="1594"/>
      <c r="D1386" s="1594"/>
      <c r="E1386" s="2275"/>
      <c r="F1386" s="2276"/>
      <c r="G1386" s="2277"/>
      <c r="H1386" s="2278"/>
      <c r="I1386" s="2279"/>
      <c r="J1386" s="1595"/>
      <c r="K1386" s="2280"/>
      <c r="L1386" s="1595"/>
      <c r="M1386" s="2280"/>
      <c r="N1386" s="2281"/>
      <c r="O1386" s="2281"/>
    </row>
  </sheetData>
  <autoFilter ref="B6:M6"/>
  <phoneticPr fontId="60" type="noConversion"/>
  <hyperlinks>
    <hyperlink ref="B1" r:id="rId1" location="i-phuong-phap-xac-dinh-don-gia-xay-dung-chi-tiet" display="BẢNG PHÂN TÍCH CHI TIẾT ĐƠN GIÁ XÂY DỰNG"/>
  </hyperlinks>
  <printOptions horizontalCentered="1"/>
  <pageMargins left="0.511811023622047" right="0.15748031496063" top="0.511811023622047" bottom="0.511811023622047" header="0.23622047244094499" footer="0.23622047244094499"/>
  <pageSetup paperSize="9" orientation="portrait" blackAndWhite="1" horizontalDpi="300" verticalDpi="300" r:id="rId2"/>
  <headerFooter>
    <oddFooter>&amp;C&amp;P</oddFooter>
  </headerFooter>
  <ignoredErrors>
    <ignoredError sqref="B2:B3" unlockedFormula="1"/>
  </ignoredErrors>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THXD">
    <tabColor rgb="FFFFFF00"/>
  </sheetPr>
  <dimension ref="A1:P200"/>
  <sheetViews>
    <sheetView showZeros="0" topLeftCell="A13" zoomScaleSheetLayoutView="100" workbookViewId="0">
      <selection activeCell="G93" sqref="G93"/>
    </sheetView>
  </sheetViews>
  <sheetFormatPr defaultColWidth="9" defaultRowHeight="15.75"/>
  <cols>
    <col min="1" max="1" width="5.42578125" style="25" customWidth="1"/>
    <col min="2" max="2" width="14.5703125" style="790" customWidth="1"/>
    <col min="3" max="3" width="36.5703125" style="1" customWidth="1"/>
    <col min="4" max="4" width="7.5703125" style="97" customWidth="1"/>
    <col min="5" max="5" width="12.5703125" style="158" customWidth="1"/>
    <col min="6" max="6" width="12.5703125" style="184" hidden="1" customWidth="1"/>
    <col min="7" max="7" width="12.5703125" style="184" customWidth="1"/>
    <col min="8" max="8" width="12.5703125" style="184" hidden="1" customWidth="1"/>
    <col min="9" max="9" width="14.5703125" style="184" hidden="1" customWidth="1"/>
    <col min="10" max="10" width="14.5703125" style="184" customWidth="1"/>
    <col min="11" max="12" width="14.5703125" style="520" hidden="1" customWidth="1"/>
    <col min="13" max="13" width="14.5703125" style="17" customWidth="1"/>
    <col min="14" max="14" width="9" style="158" hidden="1" customWidth="1"/>
    <col min="15" max="16" width="9" style="98" hidden="1" customWidth="1"/>
    <col min="17" max="17" width="9" style="17" customWidth="1"/>
    <col min="18" max="16384" width="9" style="17"/>
  </cols>
  <sheetData>
    <row r="1" spans="1:16" ht="27.95" customHeight="1">
      <c r="A1" s="449" t="s">
        <v>2060</v>
      </c>
      <c r="B1" s="255"/>
      <c r="C1" s="101"/>
      <c r="D1" s="101"/>
      <c r="E1" s="253"/>
      <c r="F1" s="171"/>
      <c r="G1" s="171"/>
      <c r="H1" s="171"/>
      <c r="I1" s="171"/>
      <c r="J1" s="171"/>
      <c r="K1" s="858"/>
      <c r="L1" s="858"/>
      <c r="M1" s="25"/>
    </row>
    <row r="2" spans="1:16"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83"/>
      <c r="C2" s="94"/>
      <c r="D2" s="94"/>
      <c r="E2" s="254"/>
      <c r="F2" s="48"/>
      <c r="G2" s="48"/>
      <c r="H2" s="48"/>
      <c r="I2" s="48"/>
      <c r="J2" s="48"/>
      <c r="K2" s="859"/>
      <c r="L2" s="859"/>
      <c r="M2" s="322"/>
    </row>
    <row r="3" spans="1:16" ht="22.15" customHeight="1">
      <c r="A3" s="1019" t="str">
        <f>"HẠNG MỤC: "&amp;'Don gia XD'!G7</f>
        <v>HẠNG MỤC: CÔNG TÁC ĐẤT</v>
      </c>
      <c r="B3" s="183"/>
      <c r="C3" s="94"/>
      <c r="D3" s="94"/>
      <c r="E3" s="254"/>
      <c r="F3" s="48"/>
      <c r="G3" s="48"/>
      <c r="H3" s="48"/>
      <c r="I3" s="48"/>
      <c r="J3" s="48"/>
      <c r="K3" s="859"/>
      <c r="L3" s="859"/>
      <c r="M3" s="322"/>
    </row>
    <row r="4" spans="1:16">
      <c r="A4" s="17"/>
      <c r="F4" s="162"/>
      <c r="I4" s="162" t="s">
        <v>310</v>
      </c>
      <c r="J4" s="162" t="s">
        <v>310</v>
      </c>
      <c r="K4" s="860"/>
      <c r="L4" s="860"/>
      <c r="M4" s="780"/>
    </row>
    <row r="5" spans="1:16" ht="78.75">
      <c r="A5" s="1022" t="s">
        <v>196</v>
      </c>
      <c r="B5" s="1022" t="s">
        <v>135</v>
      </c>
      <c r="C5" s="1022" t="s">
        <v>138</v>
      </c>
      <c r="D5" s="1022" t="s">
        <v>122</v>
      </c>
      <c r="E5" s="1023" t="s">
        <v>136</v>
      </c>
      <c r="F5" s="1024" t="s">
        <v>246</v>
      </c>
      <c r="G5" s="1024" t="s">
        <v>272</v>
      </c>
      <c r="H5" s="1024" t="s">
        <v>139</v>
      </c>
      <c r="I5" s="1024" t="s">
        <v>124</v>
      </c>
      <c r="J5" s="1024" t="s">
        <v>124</v>
      </c>
      <c r="K5" s="1025" t="s">
        <v>616</v>
      </c>
      <c r="L5" s="1025" t="s">
        <v>617</v>
      </c>
      <c r="M5" s="1022" t="s">
        <v>322</v>
      </c>
      <c r="N5" s="476" t="s">
        <v>382</v>
      </c>
      <c r="O5" s="477" t="s">
        <v>383</v>
      </c>
      <c r="P5" s="477" t="s">
        <v>384</v>
      </c>
    </row>
    <row r="6" spans="1:16" s="30" customFormat="1" ht="12.75">
      <c r="A6" s="437" t="s">
        <v>273</v>
      </c>
      <c r="B6" s="437" t="s">
        <v>276</v>
      </c>
      <c r="C6" s="437" t="s">
        <v>277</v>
      </c>
      <c r="D6" s="437" t="s">
        <v>278</v>
      </c>
      <c r="E6" s="440" t="s">
        <v>279</v>
      </c>
      <c r="F6" s="490" t="s">
        <v>280</v>
      </c>
      <c r="G6" s="490" t="s">
        <v>282</v>
      </c>
      <c r="H6" s="490" t="s">
        <v>290</v>
      </c>
      <c r="I6" s="490" t="s">
        <v>291</v>
      </c>
      <c r="J6" s="490" t="s">
        <v>303</v>
      </c>
      <c r="K6" s="861" t="s">
        <v>283</v>
      </c>
      <c r="L6" s="861" t="s">
        <v>288</v>
      </c>
      <c r="M6" s="438" t="s">
        <v>292</v>
      </c>
      <c r="N6" s="440" t="s">
        <v>293</v>
      </c>
      <c r="O6" s="478" t="s">
        <v>294</v>
      </c>
      <c r="P6" s="478" t="s">
        <v>295</v>
      </c>
    </row>
    <row r="7" spans="1:16">
      <c r="A7" s="2354" t="s">
        <v>97</v>
      </c>
      <c r="B7" s="2328"/>
      <c r="C7" s="2329" t="s">
        <v>224</v>
      </c>
      <c r="D7" s="2329"/>
      <c r="E7" s="2330"/>
      <c r="F7" s="2331"/>
      <c r="G7" s="2331"/>
      <c r="H7" s="2331"/>
      <c r="I7" s="2331">
        <f>SUM(I8:I8)</f>
        <v>0</v>
      </c>
      <c r="J7" s="2331">
        <f>SUM(J8:J8)</f>
        <v>264435</v>
      </c>
      <c r="K7" s="2332">
        <f>SUM(K8:K8)</f>
        <v>1</v>
      </c>
      <c r="L7" s="2332">
        <f>J7/(J7+J9+J11)</f>
        <v>0.17225973151371005</v>
      </c>
      <c r="M7" s="2359"/>
      <c r="N7" s="2166"/>
      <c r="O7" s="2167">
        <f>SUM(O8:O8)</f>
        <v>0</v>
      </c>
      <c r="P7" s="2167">
        <f>SUM(P8:P8)</f>
        <v>0</v>
      </c>
    </row>
    <row r="8" spans="1:16">
      <c r="A8" s="2355">
        <v>1</v>
      </c>
      <c r="B8" s="2333" t="s">
        <v>1846</v>
      </c>
      <c r="C8" s="2334" t="s">
        <v>1847</v>
      </c>
      <c r="D8" s="2335" t="s">
        <v>1848</v>
      </c>
      <c r="E8" s="2336">
        <f>SUMIF('Don gia XD'!F8:F89,B8,'Don gia XD'!N8:N89)</f>
        <v>3.1109999999999998</v>
      </c>
      <c r="F8" s="2337">
        <v>85000</v>
      </c>
      <c r="G8" s="2337">
        <f>'Gia vat lieu HTXD'!BA8</f>
        <v>85000</v>
      </c>
      <c r="H8" s="2337">
        <f>G8-F8</f>
        <v>0</v>
      </c>
      <c r="I8" s="2337">
        <f>E8*H8</f>
        <v>0</v>
      </c>
      <c r="J8" s="2337">
        <f>E8*G8</f>
        <v>264435</v>
      </c>
      <c r="K8" s="2338">
        <f>J8/J7</f>
        <v>1</v>
      </c>
      <c r="L8" s="2338"/>
      <c r="M8" s="2360" t="s">
        <v>2061</v>
      </c>
      <c r="N8" s="158">
        <f>SUMIF('Don gia XD'!F8:F89,B8,'Don gia XD'!O8:O89)</f>
        <v>0</v>
      </c>
      <c r="O8" s="98">
        <f>H8*N8</f>
        <v>0</v>
      </c>
      <c r="P8" s="98">
        <f>G8*N8</f>
        <v>0</v>
      </c>
    </row>
    <row r="9" spans="1:16">
      <c r="A9" s="2356" t="s">
        <v>195</v>
      </c>
      <c r="B9" s="2339"/>
      <c r="C9" s="2340" t="s">
        <v>225</v>
      </c>
      <c r="D9" s="2340"/>
      <c r="E9" s="2341"/>
      <c r="F9" s="2342"/>
      <c r="G9" s="2342"/>
      <c r="H9" s="2342"/>
      <c r="I9" s="2342">
        <f>SUM(I10:I10)</f>
        <v>24664.910320685642</v>
      </c>
      <c r="J9" s="2342">
        <f>SUM(J10:J10)</f>
        <v>777334.4497799736</v>
      </c>
      <c r="K9" s="2343">
        <f>SUM(K10:K10)</f>
        <v>1</v>
      </c>
      <c r="L9" s="2343">
        <f>J9/(J7+J9+J11)</f>
        <v>0.50637556910188053</v>
      </c>
      <c r="M9" s="2361"/>
      <c r="N9" s="2166"/>
      <c r="O9" s="2167">
        <f>SUM(O10:O10)</f>
        <v>0</v>
      </c>
      <c r="P9" s="2167">
        <f>SUM(P10:P10)</f>
        <v>0</v>
      </c>
    </row>
    <row r="10" spans="1:16">
      <c r="A10" s="2355">
        <v>2</v>
      </c>
      <c r="B10" s="2333" t="s">
        <v>1831</v>
      </c>
      <c r="C10" s="2334" t="s">
        <v>1832</v>
      </c>
      <c r="D10" s="2335" t="s">
        <v>1833</v>
      </c>
      <c r="E10" s="2336">
        <f>SUMIF('Don gia XD'!F8:F89,B10,'Don gia XD'!N8:N89)</f>
        <v>3.7200647439999996</v>
      </c>
      <c r="F10" s="2337">
        <v>202327</v>
      </c>
      <c r="G10" s="2337">
        <f>'Nhan cong XD'!H8</f>
        <v>208957.23684210525</v>
      </c>
      <c r="H10" s="2337">
        <f>G10-F10</f>
        <v>6630.2368421052524</v>
      </c>
      <c r="I10" s="2337">
        <f>E10*H10</f>
        <v>24664.910320685642</v>
      </c>
      <c r="J10" s="2337">
        <f>E10*G10</f>
        <v>777334.4497799736</v>
      </c>
      <c r="K10" s="2338">
        <f>J10/J9</f>
        <v>1</v>
      </c>
      <c r="L10" s="2338"/>
      <c r="M10" s="2360"/>
      <c r="N10" s="158">
        <f>SUMIF('Don gia XD'!F8:F89,B10,'Don gia XD'!O8:O89)</f>
        <v>0</v>
      </c>
      <c r="O10" s="98">
        <f>H10*N10</f>
        <v>0</v>
      </c>
      <c r="P10" s="98">
        <f>G10*N10</f>
        <v>0</v>
      </c>
    </row>
    <row r="11" spans="1:16">
      <c r="A11" s="2356" t="s">
        <v>101</v>
      </c>
      <c r="B11" s="2339"/>
      <c r="C11" s="2340" t="s">
        <v>228</v>
      </c>
      <c r="D11" s="2340"/>
      <c r="E11" s="2341"/>
      <c r="F11" s="2342"/>
      <c r="G11" s="2342"/>
      <c r="H11" s="2342"/>
      <c r="I11" s="2342">
        <f>SUM(I12:I15)</f>
        <v>-465269.40945617994</v>
      </c>
      <c r="J11" s="2342">
        <f>SUM(J12:J15)</f>
        <v>493325.24516882107</v>
      </c>
      <c r="K11" s="2343">
        <f>SUM(K12:K15)</f>
        <v>0.99999999999999989</v>
      </c>
      <c r="L11" s="2343">
        <f>J11/(J7+J9+J11)</f>
        <v>0.32136469938440937</v>
      </c>
      <c r="M11" s="2361"/>
      <c r="N11" s="2166"/>
      <c r="O11" s="2167">
        <f>SUM(O12:O15)</f>
        <v>-198.18743309999996</v>
      </c>
      <c r="P11" s="2167">
        <f>SUM(P12:P15)</f>
        <v>96.565409144999975</v>
      </c>
    </row>
    <row r="12" spans="1:16">
      <c r="A12" s="2355">
        <v>3</v>
      </c>
      <c r="B12" s="2333" t="s">
        <v>1839</v>
      </c>
      <c r="C12" s="2334" t="s">
        <v>1840</v>
      </c>
      <c r="D12" s="2335" t="s">
        <v>1836</v>
      </c>
      <c r="E12" s="2336">
        <f>SUMIF('Don gia XD'!F8:F89,B12,'Don gia XD'!N8:N89)</f>
        <v>1.5334799719999996</v>
      </c>
      <c r="F12" s="2337">
        <v>377373</v>
      </c>
      <c r="G12" s="2423">
        <f>'Gia ca may XD'!V8</f>
        <v>123633</v>
      </c>
      <c r="H12" s="2337">
        <f>G12-F12</f>
        <v>-253740</v>
      </c>
      <c r="I12" s="2337">
        <f>E12*H12</f>
        <v>-389105.20809527993</v>
      </c>
      <c r="J12" s="2337">
        <f>E12*G12</f>
        <v>189588.72937827595</v>
      </c>
      <c r="K12" s="2338">
        <f>J12/J11</f>
        <v>0.38430777916787273</v>
      </c>
      <c r="L12" s="2338"/>
      <c r="M12" s="2360"/>
      <c r="N12" s="158">
        <f>SUMIF('Don gia XD'!F8:F89,B12,'Don gia XD'!O8:O89)</f>
        <v>7.8106499999999984E-4</v>
      </c>
      <c r="O12" s="98">
        <f>H12*N12</f>
        <v>-198.18743309999996</v>
      </c>
      <c r="P12" s="98">
        <f>G12*N12</f>
        <v>96.565409144999975</v>
      </c>
    </row>
    <row r="13" spans="1:16">
      <c r="A13" s="2355">
        <v>4</v>
      </c>
      <c r="B13" s="2333" t="s">
        <v>1834</v>
      </c>
      <c r="C13" s="2334" t="s">
        <v>1835</v>
      </c>
      <c r="D13" s="2335" t="s">
        <v>1836</v>
      </c>
      <c r="E13" s="2336">
        <f>SUMIF('Don gia XD'!F8:F89,B13,'Don gia XD'!N8:N89)</f>
        <v>0.1202304</v>
      </c>
      <c r="F13" s="2337">
        <v>2832317</v>
      </c>
      <c r="G13" s="2423">
        <f>'Gia ca may XD'!V9</f>
        <v>2239847</v>
      </c>
      <c r="H13" s="2337">
        <f>G13-F13</f>
        <v>-592470</v>
      </c>
      <c r="I13" s="2337">
        <f>E13*H13</f>
        <v>-71232.905088</v>
      </c>
      <c r="J13" s="2337">
        <f>E13*G13</f>
        <v>269297.70074880001</v>
      </c>
      <c r="K13" s="2338">
        <f>J13/J11</f>
        <v>0.54588266744111891</v>
      </c>
      <c r="L13" s="2338"/>
      <c r="M13" s="2360"/>
      <c r="N13" s="158">
        <f>SUMIF('Don gia XD'!F8:F89,B13,'Don gia XD'!O8:O89)</f>
        <v>0</v>
      </c>
      <c r="O13" s="98">
        <f>H13*N13</f>
        <v>0</v>
      </c>
      <c r="P13" s="98">
        <f>G13*N13</f>
        <v>0</v>
      </c>
    </row>
    <row r="14" spans="1:16">
      <c r="A14" s="2355">
        <v>5</v>
      </c>
      <c r="B14" s="2333" t="s">
        <v>1843</v>
      </c>
      <c r="C14" s="2334" t="s">
        <v>1844</v>
      </c>
      <c r="D14" s="2335" t="s">
        <v>1836</v>
      </c>
      <c r="E14" s="2336">
        <f>SUMIF('Don gia XD'!F8:F89,B14,'Don gia XD'!N8:N89)</f>
        <v>2.3656200000000051E-2</v>
      </c>
      <c r="F14" s="2337">
        <v>1651802</v>
      </c>
      <c r="G14" s="2423">
        <f>'Gia ca may XD'!V10</f>
        <v>1451723</v>
      </c>
      <c r="H14" s="2337">
        <f>G14-F14</f>
        <v>-200079</v>
      </c>
      <c r="I14" s="2337">
        <f>E14*H14</f>
        <v>-4733.1088398000102</v>
      </c>
      <c r="J14" s="2337">
        <f>E14*G14</f>
        <v>34342.249632600076</v>
      </c>
      <c r="K14" s="2338">
        <f>J14/J11</f>
        <v>6.9613809487588246E-2</v>
      </c>
      <c r="L14" s="2338"/>
      <c r="M14" s="2360"/>
      <c r="N14" s="158">
        <f>SUMIF('Don gia XD'!F8:F89,B14,'Don gia XD'!O8:O89)</f>
        <v>0</v>
      </c>
      <c r="O14" s="98">
        <f>H14*N14</f>
        <v>0</v>
      </c>
      <c r="P14" s="98">
        <f>G14*N14</f>
        <v>0</v>
      </c>
    </row>
    <row r="15" spans="1:16">
      <c r="A15" s="2355"/>
      <c r="B15" s="2333"/>
      <c r="C15" s="2334" t="s">
        <v>227</v>
      </c>
      <c r="D15" s="2335" t="s">
        <v>1850</v>
      </c>
      <c r="E15" s="2336"/>
      <c r="F15" s="2337"/>
      <c r="G15" s="2337"/>
      <c r="H15" s="2337"/>
      <c r="I15" s="2337">
        <f>O11</f>
        <v>-198.18743309999996</v>
      </c>
      <c r="J15" s="2337">
        <f>P11</f>
        <v>96.565409144999975</v>
      </c>
      <c r="K15" s="2338">
        <f>J15/J11</f>
        <v>1.957439034200536E-4</v>
      </c>
      <c r="L15" s="2338"/>
      <c r="M15" s="2360"/>
    </row>
    <row r="16" spans="1:16">
      <c r="A16" s="2357" t="s">
        <v>110</v>
      </c>
      <c r="B16" s="2344"/>
      <c r="C16" s="2345" t="s">
        <v>232</v>
      </c>
      <c r="D16" s="2345"/>
      <c r="E16" s="2346"/>
      <c r="F16" s="2347"/>
      <c r="G16" s="2347"/>
      <c r="H16" s="2347"/>
      <c r="I16" s="2347"/>
      <c r="J16" s="2347">
        <f>J7+J9+J11</f>
        <v>1535094.6949487948</v>
      </c>
      <c r="K16" s="2338"/>
      <c r="L16" s="2338"/>
      <c r="M16" s="2360"/>
    </row>
    <row r="17" spans="1:16">
      <c r="A17" s="2358"/>
      <c r="B17" s="2348"/>
      <c r="C17" s="2349"/>
      <c r="D17" s="2350"/>
      <c r="E17" s="2351"/>
      <c r="F17" s="2352"/>
      <c r="G17" s="2352"/>
      <c r="H17" s="2352"/>
      <c r="I17" s="2352"/>
      <c r="J17" s="2352"/>
      <c r="K17" s="2353"/>
      <c r="L17" s="2353"/>
      <c r="M17" s="2362"/>
    </row>
    <row r="18" spans="1:16" ht="22.5">
      <c r="A18" s="449" t="s">
        <v>2060</v>
      </c>
      <c r="B18" s="255"/>
      <c r="C18" s="101"/>
      <c r="D18" s="101"/>
      <c r="E18" s="253"/>
      <c r="F18" s="171"/>
      <c r="G18" s="171"/>
      <c r="H18" s="171"/>
      <c r="I18" s="171"/>
      <c r="J18" s="171"/>
      <c r="K18" s="858"/>
      <c r="L18" s="858"/>
      <c r="M18" s="25"/>
    </row>
    <row r="19" spans="1:16" ht="18.75">
      <c r="A19" s="1019" t="str">
        <f>Ts!H4&amp;Ts!K4</f>
        <v>CÔNG TRÌNH: NHÀ 01 TẦNG, TƯỜNG CHỊU LỰC 110MM, MÁI LỢP FIBRÔXIMĂNG, KHÔNG CÓ KHU VỆ SINH KHÉP KÍN</v>
      </c>
      <c r="B19" s="183"/>
      <c r="C19" s="94"/>
      <c r="D19" s="94"/>
      <c r="E19" s="254"/>
      <c r="F19" s="48"/>
      <c r="G19" s="48"/>
      <c r="H19" s="48"/>
      <c r="I19" s="48"/>
      <c r="J19" s="48"/>
      <c r="K19" s="859"/>
      <c r="L19" s="859"/>
      <c r="M19" s="322"/>
    </row>
    <row r="20" spans="1:16" ht="18.75">
      <c r="A20" s="1019" t="str">
        <f>"HẠNG MỤC: "&amp;'Don gia XD'!G89</f>
        <v>HẠNG MỤC: PHẦN MÓNG</v>
      </c>
      <c r="B20" s="183"/>
      <c r="C20" s="94"/>
      <c r="D20" s="94"/>
      <c r="E20" s="254"/>
      <c r="F20" s="48"/>
      <c r="G20" s="48"/>
      <c r="H20" s="48"/>
      <c r="I20" s="48"/>
      <c r="J20" s="48"/>
      <c r="K20" s="859"/>
      <c r="L20" s="859"/>
      <c r="M20" s="322"/>
    </row>
    <row r="21" spans="1:16">
      <c r="A21" s="17"/>
      <c r="F21" s="162"/>
      <c r="I21" s="162" t="s">
        <v>310</v>
      </c>
      <c r="J21" s="162" t="s">
        <v>310</v>
      </c>
      <c r="K21" s="860"/>
      <c r="L21" s="860"/>
      <c r="M21" s="780"/>
    </row>
    <row r="22" spans="1:16" ht="78.75">
      <c r="A22" s="1022" t="s">
        <v>196</v>
      </c>
      <c r="B22" s="1022" t="s">
        <v>135</v>
      </c>
      <c r="C22" s="1022" t="s">
        <v>138</v>
      </c>
      <c r="D22" s="1022" t="s">
        <v>122</v>
      </c>
      <c r="E22" s="1023" t="s">
        <v>136</v>
      </c>
      <c r="F22" s="1024" t="s">
        <v>246</v>
      </c>
      <c r="G22" s="1024" t="s">
        <v>272</v>
      </c>
      <c r="H22" s="1024" t="s">
        <v>139</v>
      </c>
      <c r="I22" s="1024" t="s">
        <v>124</v>
      </c>
      <c r="J22" s="1024" t="s">
        <v>124</v>
      </c>
      <c r="K22" s="1025" t="s">
        <v>616</v>
      </c>
      <c r="L22" s="1025" t="s">
        <v>617</v>
      </c>
      <c r="M22" s="1022" t="s">
        <v>322</v>
      </c>
    </row>
    <row r="23" spans="1:16">
      <c r="A23" s="2354" t="s">
        <v>97</v>
      </c>
      <c r="B23" s="2328"/>
      <c r="C23" s="2329" t="s">
        <v>224</v>
      </c>
      <c r="D23" s="2329"/>
      <c r="E23" s="2330"/>
      <c r="F23" s="2331"/>
      <c r="G23" s="2331"/>
      <c r="H23" s="2331"/>
      <c r="I23" s="2331">
        <f>SUM(I24:I40)</f>
        <v>0</v>
      </c>
      <c r="J23" s="2331">
        <f>SUM(J24:J40)</f>
        <v>39342179.570733123</v>
      </c>
      <c r="K23" s="2332">
        <f>SUM(K24:K40)</f>
        <v>1.0000000000000002</v>
      </c>
      <c r="L23" s="2332">
        <f>J23/(J23+J41+J44)</f>
        <v>0.69072400677574053</v>
      </c>
      <c r="M23" s="2359"/>
      <c r="N23" s="2166"/>
      <c r="O23" s="2167">
        <f>SUM(O24:O40)</f>
        <v>0</v>
      </c>
      <c r="P23" s="2167">
        <f>SUM(P24:P40)</f>
        <v>82772.608752625005</v>
      </c>
    </row>
    <row r="24" spans="1:16">
      <c r="A24" s="2355">
        <v>1</v>
      </c>
      <c r="B24" s="2333" t="s">
        <v>1857</v>
      </c>
      <c r="C24" s="2334" t="s">
        <v>1858</v>
      </c>
      <c r="D24" s="2335" t="s">
        <v>1848</v>
      </c>
      <c r="E24" s="2336">
        <f>SUMIF('Don gia XD'!F90:F240,B24,'Don gia XD'!N90:N240)</f>
        <v>16.256440746000003</v>
      </c>
      <c r="F24" s="2337">
        <v>435000</v>
      </c>
      <c r="G24" s="2337">
        <f>'Gia vat lieu HTXD'!BA16</f>
        <v>435000</v>
      </c>
      <c r="H24" s="2337">
        <f t="shared" ref="H24:H39" si="0">G24-F24</f>
        <v>0</v>
      </c>
      <c r="I24" s="2337">
        <f t="shared" ref="I24:I39" si="1">E24*H24</f>
        <v>0</v>
      </c>
      <c r="J24" s="2337">
        <f t="shared" ref="J24:J39" si="2">E24*G24</f>
        <v>7071551.724510001</v>
      </c>
      <c r="K24" s="2338">
        <f>J24/J23</f>
        <v>0.17974478795197635</v>
      </c>
      <c r="L24" s="2338"/>
      <c r="M24" s="2360" t="s">
        <v>2061</v>
      </c>
      <c r="N24" s="158">
        <f>SUMIF('Don gia XD'!F90:F240,B24,'Don gia XD'!O90:O240)</f>
        <v>0</v>
      </c>
      <c r="O24" s="98">
        <f t="shared" ref="O24:O39" si="3">H24*N24</f>
        <v>0</v>
      </c>
      <c r="P24" s="98">
        <f t="shared" ref="P24:P39" si="4">G24*N24</f>
        <v>0</v>
      </c>
    </row>
    <row r="25" spans="1:16">
      <c r="A25" s="2355">
        <v>2</v>
      </c>
      <c r="B25" s="2333" t="s">
        <v>1903</v>
      </c>
      <c r="C25" s="2334" t="s">
        <v>1904</v>
      </c>
      <c r="D25" s="2335" t="s">
        <v>1848</v>
      </c>
      <c r="E25" s="2336">
        <f>SUMIF('Don gia XD'!F90:F240,B25,'Don gia XD'!N90:N240)</f>
        <v>5.6045296449999995</v>
      </c>
      <c r="F25" s="2337">
        <v>435000</v>
      </c>
      <c r="G25" s="2337">
        <f>'Gia vat lieu HTXD'!BA17</f>
        <v>435000</v>
      </c>
      <c r="H25" s="2337">
        <f t="shared" si="0"/>
        <v>0</v>
      </c>
      <c r="I25" s="2337">
        <f t="shared" si="1"/>
        <v>0</v>
      </c>
      <c r="J25" s="2337">
        <f t="shared" si="2"/>
        <v>2437970.395575</v>
      </c>
      <c r="K25" s="2338">
        <f>J25/J23</f>
        <v>6.1968361239157693E-2</v>
      </c>
      <c r="L25" s="2338"/>
      <c r="M25" s="2360" t="s">
        <v>2061</v>
      </c>
      <c r="N25" s="158">
        <f>SUMIF('Don gia XD'!F90:F240,B25,'Don gia XD'!O90:O240)</f>
        <v>5.6045296449999997E-2</v>
      </c>
      <c r="O25" s="98">
        <f t="shared" si="3"/>
        <v>0</v>
      </c>
      <c r="P25" s="98">
        <f t="shared" si="4"/>
        <v>24379.703955749999</v>
      </c>
    </row>
    <row r="26" spans="1:16">
      <c r="A26" s="2355">
        <v>3</v>
      </c>
      <c r="B26" s="2333" t="s">
        <v>1905</v>
      </c>
      <c r="C26" s="2334" t="s">
        <v>1906</v>
      </c>
      <c r="D26" s="2335" t="s">
        <v>1848</v>
      </c>
      <c r="E26" s="2336">
        <f>SUMIF('Don gia XD'!F90:F240,B26,'Don gia XD'!N90:N240)</f>
        <v>9.2285386074999991</v>
      </c>
      <c r="F26" s="2337">
        <v>165000</v>
      </c>
      <c r="G26" s="2337">
        <f>'Gia vat lieu HTXD'!BA18</f>
        <v>165000</v>
      </c>
      <c r="H26" s="2337">
        <f t="shared" si="0"/>
        <v>0</v>
      </c>
      <c r="I26" s="2337">
        <f t="shared" si="1"/>
        <v>0</v>
      </c>
      <c r="J26" s="2337">
        <f t="shared" si="2"/>
        <v>1522708.8702374999</v>
      </c>
      <c r="K26" s="2338">
        <f>J26/J23</f>
        <v>3.8704232628998823E-2</v>
      </c>
      <c r="L26" s="2338"/>
      <c r="M26" s="2360" t="s">
        <v>2061</v>
      </c>
      <c r="N26" s="158">
        <f>SUMIF('Don gia XD'!F90:F240,B26,'Don gia XD'!O90:O240)</f>
        <v>9.2285386075000003E-2</v>
      </c>
      <c r="O26" s="98">
        <f t="shared" si="3"/>
        <v>0</v>
      </c>
      <c r="P26" s="98">
        <f t="shared" si="4"/>
        <v>15227.088702375</v>
      </c>
    </row>
    <row r="27" spans="1:16">
      <c r="A27" s="2355">
        <v>4</v>
      </c>
      <c r="B27" s="2333" t="s">
        <v>1864</v>
      </c>
      <c r="C27" s="2334" t="s">
        <v>1865</v>
      </c>
      <c r="D27" s="2335" t="s">
        <v>1848</v>
      </c>
      <c r="E27" s="2336">
        <f>SUMIF('Don gia XD'!F90:F240,B27,'Don gia XD'!N90:N240)</f>
        <v>1.8493137000000002</v>
      </c>
      <c r="F27" s="2337">
        <v>120000</v>
      </c>
      <c r="G27" s="2337">
        <f>'Gia vat lieu HTXD'!BA19</f>
        <v>120000</v>
      </c>
      <c r="H27" s="2337">
        <f t="shared" si="0"/>
        <v>0</v>
      </c>
      <c r="I27" s="2337">
        <f t="shared" si="1"/>
        <v>0</v>
      </c>
      <c r="J27" s="2337">
        <f t="shared" si="2"/>
        <v>221917.64400000003</v>
      </c>
      <c r="K27" s="2338">
        <f>J27/J23</f>
        <v>5.6407053808753861E-3</v>
      </c>
      <c r="L27" s="2338"/>
      <c r="M27" s="2360" t="s">
        <v>2061</v>
      </c>
      <c r="N27" s="158">
        <f>SUMIF('Don gia XD'!F90:F240,B27,'Don gia XD'!O90:O240)</f>
        <v>0</v>
      </c>
      <c r="O27" s="98">
        <f t="shared" si="3"/>
        <v>0</v>
      </c>
      <c r="P27" s="98">
        <f t="shared" si="4"/>
        <v>0</v>
      </c>
    </row>
    <row r="28" spans="1:16">
      <c r="A28" s="2355">
        <v>5</v>
      </c>
      <c r="B28" s="2333" t="s">
        <v>1862</v>
      </c>
      <c r="C28" s="2334" t="s">
        <v>1863</v>
      </c>
      <c r="D28" s="2335" t="s">
        <v>1848</v>
      </c>
      <c r="E28" s="2336">
        <f>SUMIF('Don gia XD'!F90:F240,B28,'Don gia XD'!N90:N240)</f>
        <v>38.932919999999996</v>
      </c>
      <c r="F28" s="2337">
        <v>150000</v>
      </c>
      <c r="G28" s="2337">
        <f>'Gia vat lieu HTXD'!BA20</f>
        <v>150000</v>
      </c>
      <c r="H28" s="2337">
        <f t="shared" si="0"/>
        <v>0</v>
      </c>
      <c r="I28" s="2337">
        <f t="shared" si="1"/>
        <v>0</v>
      </c>
      <c r="J28" s="2337">
        <f t="shared" si="2"/>
        <v>5839937.9999999991</v>
      </c>
      <c r="K28" s="2338">
        <f>J28/J23</f>
        <v>0.14843961528619434</v>
      </c>
      <c r="L28" s="2338"/>
      <c r="M28" s="2360" t="s">
        <v>2061</v>
      </c>
      <c r="N28" s="158">
        <f>SUMIF('Don gia XD'!F90:F240,B28,'Don gia XD'!O90:O240)</f>
        <v>0</v>
      </c>
      <c r="O28" s="98">
        <f t="shared" si="3"/>
        <v>0</v>
      </c>
      <c r="P28" s="98">
        <f t="shared" si="4"/>
        <v>0</v>
      </c>
    </row>
    <row r="29" spans="1:16">
      <c r="A29" s="2355">
        <v>6</v>
      </c>
      <c r="B29" s="2333" t="s">
        <v>1880</v>
      </c>
      <c r="C29" s="2334" t="s">
        <v>1881</v>
      </c>
      <c r="D29" s="2335" t="s">
        <v>1856</v>
      </c>
      <c r="E29" s="2336">
        <f>SUMIF('Don gia XD'!F90:F240,B29,'Don gia XD'!N90:N240)</f>
        <v>2.7852000000000001</v>
      </c>
      <c r="F29" s="2337">
        <v>20000</v>
      </c>
      <c r="G29" s="2337">
        <f>'Gia vat lieu HTXD'!BA21</f>
        <v>20000</v>
      </c>
      <c r="H29" s="2337">
        <f t="shared" si="0"/>
        <v>0</v>
      </c>
      <c r="I29" s="2337">
        <f t="shared" si="1"/>
        <v>0</v>
      </c>
      <c r="J29" s="2337">
        <f t="shared" si="2"/>
        <v>55704</v>
      </c>
      <c r="K29" s="2338">
        <f>J29/J23</f>
        <v>1.4158849511590997E-3</v>
      </c>
      <c r="L29" s="2338"/>
      <c r="M29" s="2360" t="s">
        <v>2061</v>
      </c>
      <c r="N29" s="158">
        <f>SUMIF('Don gia XD'!F90:F240,B29,'Don gia XD'!O90:O240)</f>
        <v>2.7852000000000002E-2</v>
      </c>
      <c r="O29" s="98">
        <f t="shared" si="3"/>
        <v>0</v>
      </c>
      <c r="P29" s="98">
        <f t="shared" si="4"/>
        <v>557.04000000000008</v>
      </c>
    </row>
    <row r="30" spans="1:16">
      <c r="A30" s="2355">
        <v>7</v>
      </c>
      <c r="B30" s="2333" t="s">
        <v>1887</v>
      </c>
      <c r="C30" s="2334" t="s">
        <v>1888</v>
      </c>
      <c r="D30" s="2335" t="s">
        <v>1856</v>
      </c>
      <c r="E30" s="2336">
        <f>SUMIF('Don gia XD'!F90:F240,B30,'Don gia XD'!N90:N240)</f>
        <v>6.123742</v>
      </c>
      <c r="F30" s="2337">
        <v>27000</v>
      </c>
      <c r="G30" s="2337">
        <f>'Gia vat lieu HTXD'!BA22</f>
        <v>27000</v>
      </c>
      <c r="H30" s="2337">
        <f t="shared" si="0"/>
        <v>0</v>
      </c>
      <c r="I30" s="2337">
        <f t="shared" si="1"/>
        <v>0</v>
      </c>
      <c r="J30" s="2337">
        <f t="shared" si="2"/>
        <v>165341.03400000001</v>
      </c>
      <c r="K30" s="2338">
        <f>J30/J23</f>
        <v>4.2026404180971755E-3</v>
      </c>
      <c r="L30" s="2338"/>
      <c r="M30" s="2360" t="s">
        <v>2061</v>
      </c>
      <c r="N30" s="158">
        <f>SUMIF('Don gia XD'!F90:F240,B30,'Don gia XD'!O90:O240)</f>
        <v>0</v>
      </c>
      <c r="O30" s="98">
        <f t="shared" si="3"/>
        <v>0</v>
      </c>
      <c r="P30" s="98">
        <f t="shared" si="4"/>
        <v>0</v>
      </c>
    </row>
    <row r="31" spans="1:16">
      <c r="A31" s="2355">
        <v>8</v>
      </c>
      <c r="B31" s="2333" t="s">
        <v>1878</v>
      </c>
      <c r="C31" s="2334" t="s">
        <v>1879</v>
      </c>
      <c r="D31" s="2335" t="s">
        <v>1848</v>
      </c>
      <c r="E31" s="2336">
        <f>SUMIF('Don gia XD'!F90:F240,B31,'Don gia XD'!N90:N240)</f>
        <v>0.1065339</v>
      </c>
      <c r="F31" s="2337">
        <v>3100000</v>
      </c>
      <c r="G31" s="2337">
        <f>'Gia vat lieu HTXD'!BA23</f>
        <v>3100000</v>
      </c>
      <c r="H31" s="2337">
        <f t="shared" si="0"/>
        <v>0</v>
      </c>
      <c r="I31" s="2337">
        <f t="shared" si="1"/>
        <v>0</v>
      </c>
      <c r="J31" s="2337">
        <f t="shared" si="2"/>
        <v>330255.09000000003</v>
      </c>
      <c r="K31" s="2338">
        <f>J31/J23</f>
        <v>8.3944279041845132E-3</v>
      </c>
      <c r="L31" s="2338"/>
      <c r="M31" s="2360" t="s">
        <v>2061</v>
      </c>
      <c r="N31" s="158">
        <f>SUMIF('Don gia XD'!F90:F240,B31,'Don gia XD'!O90:O240)</f>
        <v>1.065339E-3</v>
      </c>
      <c r="O31" s="98">
        <f t="shared" si="3"/>
        <v>0</v>
      </c>
      <c r="P31" s="98">
        <f t="shared" si="4"/>
        <v>3302.5509000000002</v>
      </c>
    </row>
    <row r="32" spans="1:16">
      <c r="A32" s="2355">
        <v>9</v>
      </c>
      <c r="B32" s="2333" t="s">
        <v>1876</v>
      </c>
      <c r="C32" s="2334" t="s">
        <v>1877</v>
      </c>
      <c r="D32" s="2335" t="s">
        <v>1848</v>
      </c>
      <c r="E32" s="2336">
        <f>SUMIF('Don gia XD'!F90:F240,B32,'Don gia XD'!N90:N240)</f>
        <v>2.0192699999999997E-2</v>
      </c>
      <c r="F32" s="2337">
        <v>3100000</v>
      </c>
      <c r="G32" s="2337">
        <f>'Gia vat lieu HTXD'!BA24</f>
        <v>3100000</v>
      </c>
      <c r="H32" s="2337">
        <f t="shared" si="0"/>
        <v>0</v>
      </c>
      <c r="I32" s="2337">
        <f t="shared" si="1"/>
        <v>0</v>
      </c>
      <c r="J32" s="2337">
        <f t="shared" si="2"/>
        <v>62597.369999999995</v>
      </c>
      <c r="K32" s="2338">
        <f>J32/J23</f>
        <v>1.5911007138650383E-3</v>
      </c>
      <c r="L32" s="2338"/>
      <c r="M32" s="2360" t="s">
        <v>2061</v>
      </c>
      <c r="N32" s="158">
        <f>SUMIF('Don gia XD'!F90:F240,B32,'Don gia XD'!O90:O240)</f>
        <v>2.0192699999999997E-4</v>
      </c>
      <c r="O32" s="98">
        <f t="shared" si="3"/>
        <v>0</v>
      </c>
      <c r="P32" s="98">
        <f t="shared" si="4"/>
        <v>625.97369999999989</v>
      </c>
    </row>
    <row r="33" spans="1:16">
      <c r="A33" s="2355">
        <v>10</v>
      </c>
      <c r="B33" s="2333" t="s">
        <v>1874</v>
      </c>
      <c r="C33" s="2334" t="s">
        <v>1875</v>
      </c>
      <c r="D33" s="2335" t="s">
        <v>1848</v>
      </c>
      <c r="E33" s="2336">
        <f>SUMIF('Don gia XD'!F90:F240,B33,'Don gia XD'!N90:N240)</f>
        <v>0.18428740000000002</v>
      </c>
      <c r="F33" s="2337">
        <v>3100000</v>
      </c>
      <c r="G33" s="2337">
        <f>'Gia vat lieu HTXD'!BA25</f>
        <v>3100000</v>
      </c>
      <c r="H33" s="2337">
        <f t="shared" si="0"/>
        <v>0</v>
      </c>
      <c r="I33" s="2337">
        <f t="shared" si="1"/>
        <v>0</v>
      </c>
      <c r="J33" s="2337">
        <f t="shared" si="2"/>
        <v>571290.94000000006</v>
      </c>
      <c r="K33" s="2338">
        <f>J33/J23</f>
        <v>1.4521080078262536E-2</v>
      </c>
      <c r="L33" s="2338"/>
      <c r="M33" s="2360" t="s">
        <v>2061</v>
      </c>
      <c r="N33" s="158">
        <f>SUMIF('Don gia XD'!F90:F240,B33,'Don gia XD'!O90:O240)</f>
        <v>1.8428740000000002E-3</v>
      </c>
      <c r="O33" s="98">
        <f t="shared" si="3"/>
        <v>0</v>
      </c>
      <c r="P33" s="98">
        <f t="shared" si="4"/>
        <v>5712.9094000000005</v>
      </c>
    </row>
    <row r="34" spans="1:16">
      <c r="A34" s="2355">
        <v>11</v>
      </c>
      <c r="B34" s="2333" t="s">
        <v>1859</v>
      </c>
      <c r="C34" s="2334" t="s">
        <v>1860</v>
      </c>
      <c r="D34" s="2335" t="s">
        <v>1861</v>
      </c>
      <c r="E34" s="2336">
        <f>SUMIF('Don gia XD'!F90:F240,B34,'Don gia XD'!N90:N240)</f>
        <v>5632.6489935</v>
      </c>
      <c r="F34" s="2337">
        <v>8</v>
      </c>
      <c r="G34" s="2337">
        <f>'Gia vat lieu HTXD'!BA26</f>
        <v>8</v>
      </c>
      <c r="H34" s="2337">
        <f t="shared" si="0"/>
        <v>0</v>
      </c>
      <c r="I34" s="2337">
        <f t="shared" si="1"/>
        <v>0</v>
      </c>
      <c r="J34" s="2337">
        <f t="shared" si="2"/>
        <v>45061.191948</v>
      </c>
      <c r="K34" s="2338">
        <f>J34/J23</f>
        <v>1.1453659263332041E-3</v>
      </c>
      <c r="L34" s="2338"/>
      <c r="M34" s="2360" t="s">
        <v>2061</v>
      </c>
      <c r="N34" s="158">
        <f>SUMIF('Don gia XD'!F90:F240,B34,'Don gia XD'!O90:O240)</f>
        <v>19.126084875</v>
      </c>
      <c r="O34" s="98">
        <f t="shared" si="3"/>
        <v>0</v>
      </c>
      <c r="P34" s="98">
        <f t="shared" si="4"/>
        <v>153.008679</v>
      </c>
    </row>
    <row r="35" spans="1:16">
      <c r="A35" s="2355">
        <v>12</v>
      </c>
      <c r="B35" s="2333" t="s">
        <v>1894</v>
      </c>
      <c r="C35" s="2334" t="s">
        <v>1895</v>
      </c>
      <c r="D35" s="2335" t="s">
        <v>1856</v>
      </c>
      <c r="E35" s="2336">
        <f>SUMIF('Don gia XD'!F90:F240,B35,'Don gia XD'!N90:N240)</f>
        <v>2.5074559999999999</v>
      </c>
      <c r="F35" s="2337">
        <v>21000</v>
      </c>
      <c r="G35" s="2337">
        <f>'Gia vat lieu HTXD'!BA27</f>
        <v>21000</v>
      </c>
      <c r="H35" s="2337">
        <f t="shared" si="0"/>
        <v>0</v>
      </c>
      <c r="I35" s="2337">
        <f t="shared" si="1"/>
        <v>0</v>
      </c>
      <c r="J35" s="2337">
        <f t="shared" si="2"/>
        <v>52656.576000000001</v>
      </c>
      <c r="K35" s="2338">
        <f>J35/J23</f>
        <v>1.3384254907720348E-3</v>
      </c>
      <c r="L35" s="2338"/>
      <c r="M35" s="2360" t="s">
        <v>2061</v>
      </c>
      <c r="N35" s="158">
        <f>SUMIF('Don gia XD'!F90:F240,B35,'Don gia XD'!O90:O240)</f>
        <v>0</v>
      </c>
      <c r="O35" s="98">
        <f t="shared" si="3"/>
        <v>0</v>
      </c>
      <c r="P35" s="98">
        <f t="shared" si="4"/>
        <v>0</v>
      </c>
    </row>
    <row r="36" spans="1:16">
      <c r="A36" s="2355">
        <v>13</v>
      </c>
      <c r="B36" s="2333" t="s">
        <v>1885</v>
      </c>
      <c r="C36" s="2334" t="s">
        <v>1886</v>
      </c>
      <c r="D36" s="2335" t="s">
        <v>1856</v>
      </c>
      <c r="E36" s="2336">
        <f>SUMIF('Don gia XD'!F90:F240,B36,'Don gia XD'!N90:N240)</f>
        <v>69.344999999999999</v>
      </c>
      <c r="F36" s="2337">
        <v>22100</v>
      </c>
      <c r="G36" s="2337">
        <f>'Gia vat lieu HTXD'!BA28</f>
        <v>22100</v>
      </c>
      <c r="H36" s="2337">
        <f t="shared" si="0"/>
        <v>0</v>
      </c>
      <c r="I36" s="2337">
        <f t="shared" si="1"/>
        <v>0</v>
      </c>
      <c r="J36" s="2337">
        <f t="shared" si="2"/>
        <v>1532524.5</v>
      </c>
      <c r="K36" s="2338">
        <f>J36/J23</f>
        <v>3.8953726425977019E-2</v>
      </c>
      <c r="L36" s="2338"/>
      <c r="M36" s="2360" t="s">
        <v>2061</v>
      </c>
      <c r="N36" s="158">
        <f>SUMIF('Don gia XD'!F90:F240,B36,'Don gia XD'!O90:O240)</f>
        <v>0</v>
      </c>
      <c r="O36" s="98">
        <f t="shared" si="3"/>
        <v>0</v>
      </c>
      <c r="P36" s="98">
        <f t="shared" si="4"/>
        <v>0</v>
      </c>
    </row>
    <row r="37" spans="1:16">
      <c r="A37" s="2355">
        <v>14</v>
      </c>
      <c r="B37" s="2333" t="s">
        <v>1892</v>
      </c>
      <c r="C37" s="2334" t="s">
        <v>1893</v>
      </c>
      <c r="D37" s="2335" t="s">
        <v>1856</v>
      </c>
      <c r="E37" s="2336">
        <f>SUMIF('Don gia XD'!F90:F240,B37,'Don gia XD'!N90:N240)</f>
        <v>551.20799999999997</v>
      </c>
      <c r="F37" s="2337">
        <v>22000</v>
      </c>
      <c r="G37" s="2337">
        <f>'Gia vat lieu HTXD'!BA29</f>
        <v>22000</v>
      </c>
      <c r="H37" s="2337">
        <f t="shared" si="0"/>
        <v>0</v>
      </c>
      <c r="I37" s="2337">
        <f t="shared" si="1"/>
        <v>0</v>
      </c>
      <c r="J37" s="2337">
        <f t="shared" si="2"/>
        <v>12126576</v>
      </c>
      <c r="K37" s="2338">
        <f>J37/J23</f>
        <v>0.3082334566186829</v>
      </c>
      <c r="L37" s="2338"/>
      <c r="M37" s="2360" t="s">
        <v>2061</v>
      </c>
      <c r="N37" s="158">
        <f>SUMIF('Don gia XD'!F90:F240,B37,'Don gia XD'!O90:O240)</f>
        <v>0</v>
      </c>
      <c r="O37" s="98">
        <f t="shared" si="3"/>
        <v>0</v>
      </c>
      <c r="P37" s="98">
        <f t="shared" si="4"/>
        <v>0</v>
      </c>
    </row>
    <row r="38" spans="1:16">
      <c r="A38" s="2355">
        <v>15</v>
      </c>
      <c r="B38" s="2333" t="s">
        <v>1854</v>
      </c>
      <c r="C38" s="2334" t="s">
        <v>1855</v>
      </c>
      <c r="D38" s="2335" t="s">
        <v>1856</v>
      </c>
      <c r="E38" s="2336">
        <f>SUMIF('Don gia XD'!F90:F240,B38,'Don gia XD'!N90:N240)</f>
        <v>3079.5939719999997</v>
      </c>
      <c r="F38" s="2337">
        <v>1280</v>
      </c>
      <c r="G38" s="2337">
        <f>'Gia vat lieu HTXD'!BA30</f>
        <v>1280</v>
      </c>
      <c r="H38" s="2337">
        <f t="shared" si="0"/>
        <v>0</v>
      </c>
      <c r="I38" s="2337">
        <f t="shared" si="1"/>
        <v>0</v>
      </c>
      <c r="J38" s="2337">
        <f t="shared" si="2"/>
        <v>3941880.2841599993</v>
      </c>
      <c r="K38" s="2338">
        <f>J38/J23</f>
        <v>0.1001947611233107</v>
      </c>
      <c r="L38" s="2338"/>
      <c r="M38" s="2360" t="s">
        <v>2061</v>
      </c>
      <c r="N38" s="158">
        <f>SUMIF('Don gia XD'!F90:F240,B38,'Don gia XD'!O90:O240)</f>
        <v>0</v>
      </c>
      <c r="O38" s="98">
        <f t="shared" si="3"/>
        <v>0</v>
      </c>
      <c r="P38" s="98">
        <f t="shared" si="4"/>
        <v>0</v>
      </c>
    </row>
    <row r="39" spans="1:16">
      <c r="A39" s="2355">
        <v>16</v>
      </c>
      <c r="B39" s="2333" t="s">
        <v>1901</v>
      </c>
      <c r="C39" s="2334" t="s">
        <v>1902</v>
      </c>
      <c r="D39" s="2335" t="s">
        <v>1856</v>
      </c>
      <c r="E39" s="2336">
        <f>SUMIF('Don gia XD'!F90:F240,B39,'Don gia XD'!N90:N240)</f>
        <v>2377.8502475</v>
      </c>
      <c r="F39" s="2337">
        <v>1380</v>
      </c>
      <c r="G39" s="2337">
        <f>'Gia vat lieu HTXD'!BA31</f>
        <v>1380</v>
      </c>
      <c r="H39" s="2337">
        <f t="shared" si="0"/>
        <v>0</v>
      </c>
      <c r="I39" s="2337">
        <f t="shared" si="1"/>
        <v>0</v>
      </c>
      <c r="J39" s="2337">
        <f t="shared" si="2"/>
        <v>3281433.34155</v>
      </c>
      <c r="K39" s="2338">
        <f>J39/J23</f>
        <v>8.3407512683691717E-2</v>
      </c>
      <c r="L39" s="2338"/>
      <c r="M39" s="2360" t="s">
        <v>2061</v>
      </c>
      <c r="N39" s="158">
        <f>SUMIF('Don gia XD'!F90:F240,B39,'Don gia XD'!O90:O240)</f>
        <v>23.778502474999996</v>
      </c>
      <c r="O39" s="98">
        <f t="shared" si="3"/>
        <v>0</v>
      </c>
      <c r="P39" s="98">
        <f t="shared" si="4"/>
        <v>32814.333415499997</v>
      </c>
    </row>
    <row r="40" spans="1:16">
      <c r="A40" s="2355"/>
      <c r="B40" s="2333"/>
      <c r="C40" s="2334" t="s">
        <v>226</v>
      </c>
      <c r="D40" s="2335" t="s">
        <v>1850</v>
      </c>
      <c r="E40" s="2336"/>
      <c r="F40" s="2337"/>
      <c r="G40" s="2337"/>
      <c r="H40" s="2337"/>
      <c r="I40" s="2337">
        <f>O23</f>
        <v>0</v>
      </c>
      <c r="J40" s="2337">
        <f>P23</f>
        <v>82772.608752625005</v>
      </c>
      <c r="K40" s="2338">
        <f>J40/J23</f>
        <v>2.103915178461542E-3</v>
      </c>
      <c r="L40" s="2338"/>
      <c r="M40" s="2360"/>
    </row>
    <row r="41" spans="1:16">
      <c r="A41" s="2356" t="s">
        <v>195</v>
      </c>
      <c r="B41" s="2339"/>
      <c r="C41" s="2340" t="s">
        <v>225</v>
      </c>
      <c r="D41" s="2340"/>
      <c r="E41" s="2341"/>
      <c r="F41" s="2342"/>
      <c r="G41" s="2342"/>
      <c r="H41" s="2342"/>
      <c r="I41" s="2342">
        <f>SUM(I42:I43)</f>
        <v>-121528.80982250014</v>
      </c>
      <c r="J41" s="2342">
        <f>SUM(J42:J43)</f>
        <v>17356522.933937501</v>
      </c>
      <c r="K41" s="2343">
        <f>SUM(K42:K43)</f>
        <v>1</v>
      </c>
      <c r="L41" s="2343">
        <f>J41/(J23+J41+J44)</f>
        <v>0.30472554381666006</v>
      </c>
      <c r="M41" s="2361"/>
      <c r="N41" s="2166"/>
      <c r="O41" s="2167">
        <f>SUM(O42:O43)</f>
        <v>0</v>
      </c>
      <c r="P41" s="2167">
        <f>SUM(P42:P43)</f>
        <v>0</v>
      </c>
    </row>
    <row r="42" spans="1:16">
      <c r="A42" s="2355">
        <v>17</v>
      </c>
      <c r="B42" s="2333" t="s">
        <v>1866</v>
      </c>
      <c r="C42" s="2334" t="s">
        <v>1867</v>
      </c>
      <c r="D42" s="2335" t="s">
        <v>1833</v>
      </c>
      <c r="E42" s="2336">
        <f>SUMIF('Don gia XD'!F90:F240,B42,'Don gia XD'!N90:N240)</f>
        <v>64.76907700000001</v>
      </c>
      <c r="F42" s="2337">
        <v>230100</v>
      </c>
      <c r="G42" s="2337">
        <f>'Nhan cong XD'!H16</f>
        <v>228500</v>
      </c>
      <c r="H42" s="2337">
        <f>G42-F42</f>
        <v>-1600</v>
      </c>
      <c r="I42" s="2337">
        <f>E42*H42</f>
        <v>-103630.52320000001</v>
      </c>
      <c r="J42" s="2337">
        <f>E42*G42</f>
        <v>14799734.094500002</v>
      </c>
      <c r="K42" s="2338">
        <f>J42/J41</f>
        <v>0.85269003191657888</v>
      </c>
      <c r="L42" s="2338"/>
      <c r="M42" s="2360"/>
      <c r="N42" s="158">
        <f>SUMIF('Don gia XD'!F90:F240,B42,'Don gia XD'!O90:O240)</f>
        <v>0</v>
      </c>
      <c r="O42" s="98">
        <f>H42*N42</f>
        <v>0</v>
      </c>
      <c r="P42" s="98">
        <f>G42*N42</f>
        <v>0</v>
      </c>
    </row>
    <row r="43" spans="1:16">
      <c r="A43" s="2355">
        <v>18</v>
      </c>
      <c r="B43" s="2333" t="s">
        <v>1907</v>
      </c>
      <c r="C43" s="2334" t="s">
        <v>1908</v>
      </c>
      <c r="D43" s="2335" t="s">
        <v>1833</v>
      </c>
      <c r="E43" s="2336">
        <f>SUMIF('Don gia XD'!F90:F240,B43,'Don gia XD'!N90:N240)</f>
        <v>12.235943000000001</v>
      </c>
      <c r="F43" s="2337">
        <v>210420</v>
      </c>
      <c r="G43" s="2337">
        <f>'Nhan cong XD'!H17</f>
        <v>208957.23684210525</v>
      </c>
      <c r="H43" s="2337">
        <f>G43-F43</f>
        <v>-1462.7631578947476</v>
      </c>
      <c r="I43" s="2337">
        <f>E43*H43</f>
        <v>-17898.286622500131</v>
      </c>
      <c r="J43" s="2337">
        <f>E43*G43</f>
        <v>2556788.8394375001</v>
      </c>
      <c r="K43" s="2338">
        <f>J43/J41</f>
        <v>0.14730996808342112</v>
      </c>
      <c r="L43" s="2338"/>
      <c r="M43" s="2360"/>
      <c r="N43" s="158">
        <f>SUMIF('Don gia XD'!F90:F240,B43,'Don gia XD'!O90:O240)</f>
        <v>0</v>
      </c>
      <c r="O43" s="98">
        <f>H43*N43</f>
        <v>0</v>
      </c>
      <c r="P43" s="98">
        <f>G43*N43</f>
        <v>0</v>
      </c>
    </row>
    <row r="44" spans="1:16">
      <c r="A44" s="2356" t="s">
        <v>101</v>
      </c>
      <c r="B44" s="2339"/>
      <c r="C44" s="2340" t="s">
        <v>228</v>
      </c>
      <c r="D44" s="2340"/>
      <c r="E44" s="2341"/>
      <c r="F44" s="2342"/>
      <c r="G44" s="2342"/>
      <c r="H44" s="2342"/>
      <c r="I44" s="2342">
        <f>SUM(I45:I50)</f>
        <v>-996700.10836019996</v>
      </c>
      <c r="J44" s="2342">
        <f>SUM(J45:J50)</f>
        <v>259183.98081600002</v>
      </c>
      <c r="K44" s="2343">
        <f>SUM(K45:K50)</f>
        <v>0.99999999999999978</v>
      </c>
      <c r="L44" s="2343">
        <f>J44/(J23+J41+J44)</f>
        <v>4.5504494075994627E-3</v>
      </c>
      <c r="M44" s="2361"/>
      <c r="N44" s="2166"/>
      <c r="O44" s="2167">
        <f>SUM(O45:O50)</f>
        <v>0</v>
      </c>
      <c r="P44" s="2167">
        <f>SUM(P45:P50)</f>
        <v>0</v>
      </c>
    </row>
    <row r="45" spans="1:16">
      <c r="A45" s="2355">
        <v>19</v>
      </c>
      <c r="B45" s="2333" t="s">
        <v>1889</v>
      </c>
      <c r="C45" s="2334" t="s">
        <v>1890</v>
      </c>
      <c r="D45" s="2335" t="s">
        <v>1836</v>
      </c>
      <c r="E45" s="2336">
        <f>SUMIF('Don gia XD'!F90:F240,B45,'Don gia XD'!N90:N240)</f>
        <v>0.20052800000000001</v>
      </c>
      <c r="F45" s="2337">
        <v>255589</v>
      </c>
      <c r="G45" s="2423">
        <f>'Gia ca may XD'!V19</f>
        <v>34676</v>
      </c>
      <c r="H45" s="2337">
        <f t="shared" ref="H45:H50" si="5">G45-F45</f>
        <v>-220913</v>
      </c>
      <c r="I45" s="2337">
        <f t="shared" ref="I45:I50" si="6">E45*H45</f>
        <v>-44299.242064000005</v>
      </c>
      <c r="J45" s="2337">
        <f t="shared" ref="J45:J50" si="7">E45*G45</f>
        <v>6953.5089280000002</v>
      </c>
      <c r="K45" s="2338">
        <f>J45/J44</f>
        <v>2.6828467199662458E-2</v>
      </c>
      <c r="L45" s="2338"/>
      <c r="M45" s="2360"/>
      <c r="N45" s="158">
        <f>SUMIF('Don gia XD'!F90:F240,B45,'Don gia XD'!O90:O240)</f>
        <v>0</v>
      </c>
      <c r="O45" s="98">
        <f t="shared" ref="O45:O50" si="8">H45*N45</f>
        <v>0</v>
      </c>
      <c r="P45" s="98">
        <f t="shared" ref="P45:P50" si="9">G45*N45</f>
        <v>0</v>
      </c>
    </row>
    <row r="46" spans="1:16">
      <c r="A46" s="2355">
        <v>20</v>
      </c>
      <c r="B46" s="2333" t="s">
        <v>1916</v>
      </c>
      <c r="C46" s="2334" t="s">
        <v>1917</v>
      </c>
      <c r="D46" s="2335" t="s">
        <v>1836</v>
      </c>
      <c r="E46" s="2336">
        <f>SUMIF('Don gia XD'!F90:F240,B46,'Don gia XD'!N90:N240)</f>
        <v>0.68029820000000008</v>
      </c>
      <c r="F46" s="2337">
        <v>247178</v>
      </c>
      <c r="G46" s="2423">
        <f>'Gia ca may XD'!V20</f>
        <v>26132</v>
      </c>
      <c r="H46" s="2337">
        <f t="shared" si="5"/>
        <v>-221046</v>
      </c>
      <c r="I46" s="2337">
        <f t="shared" si="6"/>
        <v>-150377.19591720001</v>
      </c>
      <c r="J46" s="2337">
        <f t="shared" si="7"/>
        <v>17777.5525624</v>
      </c>
      <c r="K46" s="2338">
        <f>J46/J44</f>
        <v>6.859047579418362E-2</v>
      </c>
      <c r="L46" s="2338"/>
      <c r="M46" s="2360"/>
      <c r="N46" s="158">
        <f>SUMIF('Don gia XD'!F90:F240,B46,'Don gia XD'!O90:O240)</f>
        <v>0</v>
      </c>
      <c r="O46" s="98">
        <f t="shared" si="8"/>
        <v>0</v>
      </c>
      <c r="P46" s="98">
        <f t="shared" si="9"/>
        <v>0</v>
      </c>
    </row>
    <row r="47" spans="1:16">
      <c r="A47" s="2355">
        <v>21</v>
      </c>
      <c r="B47" s="2333" t="s">
        <v>1911</v>
      </c>
      <c r="C47" s="2334" t="s">
        <v>1912</v>
      </c>
      <c r="D47" s="2335" t="s">
        <v>1836</v>
      </c>
      <c r="E47" s="2336">
        <f>SUMIF('Don gia XD'!F90:F240,B47,'Don gia XD'!N90:N240)</f>
        <v>0.22719029999999996</v>
      </c>
      <c r="F47" s="2337">
        <v>251085</v>
      </c>
      <c r="G47" s="2423">
        <f>'Gia ca may XD'!V21</f>
        <v>30106</v>
      </c>
      <c r="H47" s="2337">
        <f t="shared" si="5"/>
        <v>-220979</v>
      </c>
      <c r="I47" s="2337">
        <f t="shared" si="6"/>
        <v>-50204.285303699988</v>
      </c>
      <c r="J47" s="2337">
        <f t="shared" si="7"/>
        <v>6839.7911717999987</v>
      </c>
      <c r="K47" s="2338">
        <f>J47/J44</f>
        <v>2.6389714172403676E-2</v>
      </c>
      <c r="L47" s="2338"/>
      <c r="M47" s="2360"/>
      <c r="N47" s="158">
        <f>SUMIF('Don gia XD'!F90:F240,B47,'Don gia XD'!O90:O240)</f>
        <v>0</v>
      </c>
      <c r="O47" s="98">
        <f t="shared" si="8"/>
        <v>0</v>
      </c>
      <c r="P47" s="98">
        <f t="shared" si="9"/>
        <v>0</v>
      </c>
    </row>
    <row r="48" spans="1:16">
      <c r="A48" s="2355">
        <v>22</v>
      </c>
      <c r="B48" s="2333" t="s">
        <v>1896</v>
      </c>
      <c r="C48" s="2334" t="s">
        <v>1897</v>
      </c>
      <c r="D48" s="2335" t="s">
        <v>1836</v>
      </c>
      <c r="E48" s="2336">
        <f>SUMIF('Don gia XD'!F90:F240,B48,'Don gia XD'!N90:N240)</f>
        <v>0.60524800000000001</v>
      </c>
      <c r="F48" s="2337">
        <v>381197</v>
      </c>
      <c r="G48" s="2423">
        <f>'Gia ca may XD'!V22</f>
        <v>120198</v>
      </c>
      <c r="H48" s="2337">
        <f t="shared" si="5"/>
        <v>-260999</v>
      </c>
      <c r="I48" s="2337">
        <f t="shared" si="6"/>
        <v>-157969.122752</v>
      </c>
      <c r="J48" s="2337">
        <f t="shared" si="7"/>
        <v>72749.599104000008</v>
      </c>
      <c r="K48" s="2338">
        <f>J48/J44</f>
        <v>0.28068709676793807</v>
      </c>
      <c r="L48" s="2338"/>
      <c r="M48" s="2360"/>
      <c r="N48" s="158">
        <f>SUMIF('Don gia XD'!F90:F240,B48,'Don gia XD'!O90:O240)</f>
        <v>0</v>
      </c>
      <c r="O48" s="98">
        <f t="shared" si="8"/>
        <v>0</v>
      </c>
      <c r="P48" s="98">
        <f t="shared" si="9"/>
        <v>0</v>
      </c>
    </row>
    <row r="49" spans="1:16">
      <c r="A49" s="2355">
        <v>23</v>
      </c>
      <c r="B49" s="2333" t="s">
        <v>1868</v>
      </c>
      <c r="C49" s="2334" t="s">
        <v>1869</v>
      </c>
      <c r="D49" s="2335" t="s">
        <v>1836</v>
      </c>
      <c r="E49" s="2336">
        <f>SUMIF('Don gia XD'!F90:F240,B49,'Don gia XD'!N90:N240)</f>
        <v>1.7195373</v>
      </c>
      <c r="F49" s="2337">
        <v>269172</v>
      </c>
      <c r="G49" s="2423">
        <f>'Gia ca may XD'!V23</f>
        <v>48226</v>
      </c>
      <c r="H49" s="2337">
        <f t="shared" si="5"/>
        <v>-220946</v>
      </c>
      <c r="I49" s="2337">
        <f t="shared" si="6"/>
        <v>-379924.8882858</v>
      </c>
      <c r="J49" s="2337">
        <f t="shared" si="7"/>
        <v>82926.405829800002</v>
      </c>
      <c r="K49" s="2338">
        <f>J49/J44</f>
        <v>0.31995189505431332</v>
      </c>
      <c r="L49" s="2338"/>
      <c r="M49" s="2360"/>
      <c r="N49" s="158">
        <f>SUMIF('Don gia XD'!F90:F240,B49,'Don gia XD'!O90:O240)</f>
        <v>0</v>
      </c>
      <c r="O49" s="98">
        <f t="shared" si="8"/>
        <v>0</v>
      </c>
      <c r="P49" s="98">
        <f t="shared" si="9"/>
        <v>0</v>
      </c>
    </row>
    <row r="50" spans="1:16">
      <c r="A50" s="2355">
        <v>24</v>
      </c>
      <c r="B50" s="2333" t="s">
        <v>1909</v>
      </c>
      <c r="C50" s="2334" t="s">
        <v>1910</v>
      </c>
      <c r="D50" s="2335" t="s">
        <v>1836</v>
      </c>
      <c r="E50" s="2336">
        <f>SUMIF('Don gia XD'!F90:F240,B50,'Don gia XD'!N90:N240)</f>
        <v>0.96866750000000001</v>
      </c>
      <c r="F50" s="2337">
        <v>295109</v>
      </c>
      <c r="G50" s="2423">
        <f>'Gia ca may XD'!V24</f>
        <v>74264</v>
      </c>
      <c r="H50" s="2337">
        <f t="shared" si="5"/>
        <v>-220845</v>
      </c>
      <c r="I50" s="2337">
        <f t="shared" si="6"/>
        <v>-213925.37403750001</v>
      </c>
      <c r="J50" s="2337">
        <f t="shared" si="7"/>
        <v>71937.123219999994</v>
      </c>
      <c r="K50" s="2338">
        <f>J50/J44</f>
        <v>0.27755235101149872</v>
      </c>
      <c r="L50" s="2338"/>
      <c r="M50" s="2360"/>
      <c r="N50" s="158">
        <f>SUMIF('Don gia XD'!F90:F240,B50,'Don gia XD'!O90:O240)</f>
        <v>0</v>
      </c>
      <c r="O50" s="98">
        <f t="shared" si="8"/>
        <v>0</v>
      </c>
      <c r="P50" s="98">
        <f t="shared" si="9"/>
        <v>0</v>
      </c>
    </row>
    <row r="51" spans="1:16">
      <c r="A51" s="2357" t="s">
        <v>110</v>
      </c>
      <c r="B51" s="2344"/>
      <c r="C51" s="2345" t="s">
        <v>232</v>
      </c>
      <c r="D51" s="2345"/>
      <c r="E51" s="2346"/>
      <c r="F51" s="2347"/>
      <c r="G51" s="2347"/>
      <c r="H51" s="2347"/>
      <c r="I51" s="2347"/>
      <c r="J51" s="2347">
        <f>J23+J41+J44</f>
        <v>56957886.485486619</v>
      </c>
      <c r="K51" s="2338"/>
      <c r="L51" s="2338"/>
      <c r="M51" s="2360"/>
    </row>
    <row r="52" spans="1:16">
      <c r="A52" s="2358"/>
      <c r="B52" s="2348"/>
      <c r="C52" s="2349"/>
      <c r="D52" s="2350"/>
      <c r="E52" s="2351"/>
      <c r="F52" s="2352"/>
      <c r="G52" s="2352"/>
      <c r="H52" s="2352"/>
      <c r="I52" s="2352"/>
      <c r="J52" s="2352"/>
      <c r="K52" s="2353"/>
      <c r="L52" s="2353"/>
      <c r="M52" s="2362"/>
    </row>
    <row r="53" spans="1:16" ht="22.5">
      <c r="A53" s="449" t="s">
        <v>2060</v>
      </c>
      <c r="B53" s="255"/>
      <c r="C53" s="101"/>
      <c r="D53" s="101"/>
      <c r="E53" s="253"/>
      <c r="F53" s="171"/>
      <c r="G53" s="171"/>
      <c r="H53" s="171"/>
      <c r="I53" s="171"/>
      <c r="J53" s="171"/>
      <c r="K53" s="858"/>
      <c r="L53" s="858"/>
      <c r="M53" s="25"/>
    </row>
    <row r="54" spans="1:16" ht="18.75">
      <c r="A54" s="1019" t="str">
        <f>Ts!H4&amp;Ts!K4</f>
        <v>CÔNG TRÌNH: NHÀ 01 TẦNG, TƯỜNG CHỊU LỰC 110MM, MÁI LỢP FIBRÔXIMĂNG, KHÔNG CÓ KHU VỆ SINH KHÉP KÍN</v>
      </c>
      <c r="B54" s="183"/>
      <c r="C54" s="94"/>
      <c r="D54" s="94"/>
      <c r="E54" s="254"/>
      <c r="F54" s="48"/>
      <c r="G54" s="48"/>
      <c r="H54" s="48"/>
      <c r="I54" s="48"/>
      <c r="J54" s="48"/>
      <c r="K54" s="859"/>
      <c r="L54" s="859"/>
      <c r="M54" s="322"/>
    </row>
    <row r="55" spans="1:16" ht="18.75">
      <c r="A55" s="1019" t="str">
        <f>"HẠNG MỤC: "&amp;'Don gia XD'!G240</f>
        <v>HẠNG MỤC: PHẦN THÂN</v>
      </c>
      <c r="B55" s="183"/>
      <c r="C55" s="94"/>
      <c r="D55" s="94"/>
      <c r="E55" s="254"/>
      <c r="F55" s="48"/>
      <c r="G55" s="48"/>
      <c r="H55" s="48"/>
      <c r="I55" s="48"/>
      <c r="J55" s="48"/>
      <c r="K55" s="859"/>
      <c r="L55" s="859"/>
      <c r="M55" s="322"/>
    </row>
    <row r="56" spans="1:16">
      <c r="A56" s="17"/>
      <c r="F56" s="162"/>
      <c r="I56" s="162" t="s">
        <v>310</v>
      </c>
      <c r="J56" s="162" t="s">
        <v>310</v>
      </c>
      <c r="K56" s="860"/>
      <c r="L56" s="860"/>
      <c r="M56" s="780"/>
    </row>
    <row r="57" spans="1:16" ht="78.75">
      <c r="A57" s="1022" t="s">
        <v>196</v>
      </c>
      <c r="B57" s="1022" t="s">
        <v>135</v>
      </c>
      <c r="C57" s="1022" t="s">
        <v>138</v>
      </c>
      <c r="D57" s="1022" t="s">
        <v>122</v>
      </c>
      <c r="E57" s="1023" t="s">
        <v>136</v>
      </c>
      <c r="F57" s="1024" t="s">
        <v>246</v>
      </c>
      <c r="G57" s="1024" t="s">
        <v>272</v>
      </c>
      <c r="H57" s="1024" t="s">
        <v>139</v>
      </c>
      <c r="I57" s="1024" t="s">
        <v>124</v>
      </c>
      <c r="J57" s="1024" t="s">
        <v>124</v>
      </c>
      <c r="K57" s="1025" t="s">
        <v>616</v>
      </c>
      <c r="L57" s="1025" t="s">
        <v>617</v>
      </c>
      <c r="M57" s="1022" t="s">
        <v>322</v>
      </c>
    </row>
    <row r="58" spans="1:16">
      <c r="A58" s="2354" t="s">
        <v>97</v>
      </c>
      <c r="B58" s="2328"/>
      <c r="C58" s="2329" t="s">
        <v>224</v>
      </c>
      <c r="D58" s="2329"/>
      <c r="E58" s="2330"/>
      <c r="F58" s="2331"/>
      <c r="G58" s="2331"/>
      <c r="H58" s="2331"/>
      <c r="I58" s="2331">
        <f>SUM(I59:I72)</f>
        <v>0</v>
      </c>
      <c r="J58" s="2331">
        <f>SUM(J59:J72)</f>
        <v>34350411.643678747</v>
      </c>
      <c r="K58" s="2332">
        <f>SUM(K59:K72)</f>
        <v>0.99999999999999989</v>
      </c>
      <c r="L58" s="2332">
        <f>J58/(J58+J73+J76)</f>
        <v>0.78661410209695581</v>
      </c>
      <c r="M58" s="2359"/>
      <c r="N58" s="2166"/>
      <c r="O58" s="2167">
        <f>SUM(O59:O72)</f>
        <v>0</v>
      </c>
      <c r="P58" s="2167">
        <f>SUM(P59:P72)</f>
        <v>65954.178203749994</v>
      </c>
    </row>
    <row r="59" spans="1:16">
      <c r="A59" s="2355">
        <v>1</v>
      </c>
      <c r="B59" s="2333" t="s">
        <v>1903</v>
      </c>
      <c r="C59" s="2334" t="s">
        <v>1904</v>
      </c>
      <c r="D59" s="2335" t="s">
        <v>1848</v>
      </c>
      <c r="E59" s="2336">
        <f>SUMIF('Don gia XD'!F241:F408,B59,'Don gia XD'!N241:N408)</f>
        <v>1.9402020000000002</v>
      </c>
      <c r="F59" s="2337">
        <v>435000</v>
      </c>
      <c r="G59" s="2337">
        <f>'Gia vat lieu HTXD'!BA39</f>
        <v>435000</v>
      </c>
      <c r="H59" s="2337">
        <f t="shared" ref="H59:H71" si="10">G59-F59</f>
        <v>0</v>
      </c>
      <c r="I59" s="2337">
        <f t="shared" ref="I59:I71" si="11">E59*H59</f>
        <v>0</v>
      </c>
      <c r="J59" s="2337">
        <f t="shared" ref="J59:J71" si="12">E59*G59</f>
        <v>843987.87000000011</v>
      </c>
      <c r="K59" s="2338">
        <f>J59/J58</f>
        <v>2.4569949226658335E-2</v>
      </c>
      <c r="L59" s="2338"/>
      <c r="M59" s="2360" t="s">
        <v>2061</v>
      </c>
      <c r="N59" s="158">
        <f>SUMIF('Don gia XD'!F241:F408,B59,'Don gia XD'!O241:O408)</f>
        <v>1.9402020000000002E-2</v>
      </c>
      <c r="O59" s="98">
        <f t="shared" ref="O59:O71" si="13">H59*N59</f>
        <v>0</v>
      </c>
      <c r="P59" s="98">
        <f t="shared" ref="P59:P71" si="14">G59*N59</f>
        <v>8439.8787000000011</v>
      </c>
    </row>
    <row r="60" spans="1:16">
      <c r="A60" s="2355">
        <v>2</v>
      </c>
      <c r="B60" s="2333" t="s">
        <v>1905</v>
      </c>
      <c r="C60" s="2334" t="s">
        <v>1906</v>
      </c>
      <c r="D60" s="2335" t="s">
        <v>1848</v>
      </c>
      <c r="E60" s="2336">
        <f>SUMIF('Don gia XD'!F241:F408,B60,'Don gia XD'!N241:N408)</f>
        <v>3.2005983749999993</v>
      </c>
      <c r="F60" s="2337">
        <v>165000</v>
      </c>
      <c r="G60" s="2337">
        <f>'Gia vat lieu HTXD'!BA40</f>
        <v>165000</v>
      </c>
      <c r="H60" s="2337">
        <f t="shared" si="10"/>
        <v>0</v>
      </c>
      <c r="I60" s="2337">
        <f t="shared" si="11"/>
        <v>0</v>
      </c>
      <c r="J60" s="2337">
        <f t="shared" si="12"/>
        <v>528098.73187499994</v>
      </c>
      <c r="K60" s="2338">
        <f>J60/J58</f>
        <v>1.537386909225532E-2</v>
      </c>
      <c r="L60" s="2338"/>
      <c r="M60" s="2360" t="s">
        <v>2061</v>
      </c>
      <c r="N60" s="158">
        <f>SUMIF('Don gia XD'!F241:F408,B60,'Don gia XD'!O241:O408)</f>
        <v>3.2005983749999994E-2</v>
      </c>
      <c r="O60" s="98">
        <f t="shared" si="13"/>
        <v>0</v>
      </c>
      <c r="P60" s="98">
        <f t="shared" si="14"/>
        <v>5280.9873187499988</v>
      </c>
    </row>
    <row r="61" spans="1:16">
      <c r="A61" s="2355">
        <v>3</v>
      </c>
      <c r="B61" s="2333" t="s">
        <v>1880</v>
      </c>
      <c r="C61" s="2334" t="s">
        <v>1881</v>
      </c>
      <c r="D61" s="2335" t="s">
        <v>1856</v>
      </c>
      <c r="E61" s="2336">
        <f>SUMIF('Don gia XD'!F241:F408,B61,'Don gia XD'!N241:N408)</f>
        <v>8.3912929999999992</v>
      </c>
      <c r="F61" s="2337">
        <v>20000</v>
      </c>
      <c r="G61" s="2337">
        <f>'Gia vat lieu HTXD'!BA41</f>
        <v>20000</v>
      </c>
      <c r="H61" s="2337">
        <f t="shared" si="10"/>
        <v>0</v>
      </c>
      <c r="I61" s="2337">
        <f t="shared" si="11"/>
        <v>0</v>
      </c>
      <c r="J61" s="2337">
        <f t="shared" si="12"/>
        <v>167825.86</v>
      </c>
      <c r="K61" s="2338">
        <f>J61/J58</f>
        <v>4.8857015671567288E-3</v>
      </c>
      <c r="L61" s="2338"/>
      <c r="M61" s="2360" t="s">
        <v>2061</v>
      </c>
      <c r="N61" s="158">
        <f>SUMIF('Don gia XD'!F241:F408,B61,'Don gia XD'!O241:O408)</f>
        <v>8.3912929999999997E-2</v>
      </c>
      <c r="O61" s="98">
        <f t="shared" si="13"/>
        <v>0</v>
      </c>
      <c r="P61" s="98">
        <f t="shared" si="14"/>
        <v>1678.2585999999999</v>
      </c>
    </row>
    <row r="62" spans="1:16">
      <c r="A62" s="2355">
        <v>4</v>
      </c>
      <c r="B62" s="2333" t="s">
        <v>1887</v>
      </c>
      <c r="C62" s="2334" t="s">
        <v>1888</v>
      </c>
      <c r="D62" s="2335" t="s">
        <v>1856</v>
      </c>
      <c r="E62" s="2336">
        <f>SUMIF('Don gia XD'!F241:F408,B62,'Don gia XD'!N241:N408)</f>
        <v>12.580442</v>
      </c>
      <c r="F62" s="2337">
        <v>27000</v>
      </c>
      <c r="G62" s="2337">
        <f>'Gia vat lieu HTXD'!BA42</f>
        <v>27000</v>
      </c>
      <c r="H62" s="2337">
        <f t="shared" si="10"/>
        <v>0</v>
      </c>
      <c r="I62" s="2337">
        <f t="shared" si="11"/>
        <v>0</v>
      </c>
      <c r="J62" s="2337">
        <f t="shared" si="12"/>
        <v>339671.93400000001</v>
      </c>
      <c r="K62" s="2338">
        <f>J62/J58</f>
        <v>9.8884385294552169E-3</v>
      </c>
      <c r="L62" s="2338"/>
      <c r="M62" s="2360" t="s">
        <v>2061</v>
      </c>
      <c r="N62" s="158">
        <f>SUMIF('Don gia XD'!F241:F408,B62,'Don gia XD'!O241:O408)</f>
        <v>0</v>
      </c>
      <c r="O62" s="98">
        <f t="shared" si="13"/>
        <v>0</v>
      </c>
      <c r="P62" s="98">
        <f t="shared" si="14"/>
        <v>0</v>
      </c>
    </row>
    <row r="63" spans="1:16">
      <c r="A63" s="2355">
        <v>5</v>
      </c>
      <c r="B63" s="2333" t="s">
        <v>1878</v>
      </c>
      <c r="C63" s="2334" t="s">
        <v>1879</v>
      </c>
      <c r="D63" s="2335" t="s">
        <v>1848</v>
      </c>
      <c r="E63" s="2336">
        <f>SUMIF('Don gia XD'!F241:F408,B63,'Don gia XD'!N241:N408)</f>
        <v>0.57969970000000004</v>
      </c>
      <c r="F63" s="2337">
        <v>3100000</v>
      </c>
      <c r="G63" s="2337">
        <f>'Gia vat lieu HTXD'!BA43</f>
        <v>3100000</v>
      </c>
      <c r="H63" s="2337">
        <f t="shared" si="10"/>
        <v>0</v>
      </c>
      <c r="I63" s="2337">
        <f t="shared" si="11"/>
        <v>0</v>
      </c>
      <c r="J63" s="2337">
        <f t="shared" si="12"/>
        <v>1797069.07</v>
      </c>
      <c r="K63" s="2338">
        <f>J63/J58</f>
        <v>5.2315794309577113E-2</v>
      </c>
      <c r="L63" s="2338"/>
      <c r="M63" s="2360" t="s">
        <v>2061</v>
      </c>
      <c r="N63" s="158">
        <f>SUMIF('Don gia XD'!F241:F408,B63,'Don gia XD'!O241:O408)</f>
        <v>5.7969969999999999E-3</v>
      </c>
      <c r="O63" s="98">
        <f t="shared" si="13"/>
        <v>0</v>
      </c>
      <c r="P63" s="98">
        <f t="shared" si="14"/>
        <v>17970.690699999999</v>
      </c>
    </row>
    <row r="64" spans="1:16">
      <c r="A64" s="2355">
        <v>6</v>
      </c>
      <c r="B64" s="2333" t="s">
        <v>1876</v>
      </c>
      <c r="C64" s="2334" t="s">
        <v>1877</v>
      </c>
      <c r="D64" s="2335" t="s">
        <v>1848</v>
      </c>
      <c r="E64" s="2336">
        <f>SUMIF('Don gia XD'!F241:F408,B64,'Don gia XD'!N241:N408)</f>
        <v>0.11174450000000001</v>
      </c>
      <c r="F64" s="2337">
        <v>3100000</v>
      </c>
      <c r="G64" s="2337">
        <f>'Gia vat lieu HTXD'!BA44</f>
        <v>3100000</v>
      </c>
      <c r="H64" s="2337">
        <f t="shared" si="10"/>
        <v>0</v>
      </c>
      <c r="I64" s="2337">
        <f t="shared" si="11"/>
        <v>0</v>
      </c>
      <c r="J64" s="2337">
        <f t="shared" si="12"/>
        <v>346407.95</v>
      </c>
      <c r="K64" s="2338">
        <f>J64/J58</f>
        <v>1.0084535626336429E-2</v>
      </c>
      <c r="L64" s="2338"/>
      <c r="M64" s="2360" t="s">
        <v>2061</v>
      </c>
      <c r="N64" s="158">
        <f>SUMIF('Don gia XD'!F241:F408,B64,'Don gia XD'!O241:O408)</f>
        <v>1.1174450000000001E-3</v>
      </c>
      <c r="O64" s="98">
        <f t="shared" si="13"/>
        <v>0</v>
      </c>
      <c r="P64" s="98">
        <f t="shared" si="14"/>
        <v>3464.0795000000003</v>
      </c>
    </row>
    <row r="65" spans="1:16">
      <c r="A65" s="2355">
        <v>7</v>
      </c>
      <c r="B65" s="2333" t="s">
        <v>1874</v>
      </c>
      <c r="C65" s="2334" t="s">
        <v>1875</v>
      </c>
      <c r="D65" s="2335" t="s">
        <v>1848</v>
      </c>
      <c r="E65" s="2336">
        <f>SUMIF('Don gia XD'!F241:F408,B65,'Don gia XD'!N241:N408)</f>
        <v>0.51395620000000009</v>
      </c>
      <c r="F65" s="2337">
        <v>3100000</v>
      </c>
      <c r="G65" s="2337">
        <f>'Gia vat lieu HTXD'!BA45</f>
        <v>3100000</v>
      </c>
      <c r="H65" s="2337">
        <f t="shared" si="10"/>
        <v>0</v>
      </c>
      <c r="I65" s="2337">
        <f t="shared" si="11"/>
        <v>0</v>
      </c>
      <c r="J65" s="2337">
        <f t="shared" si="12"/>
        <v>1593264.2200000002</v>
      </c>
      <c r="K65" s="2338">
        <f>J65/J58</f>
        <v>4.638268200472051E-2</v>
      </c>
      <c r="L65" s="2338"/>
      <c r="M65" s="2360" t="s">
        <v>2061</v>
      </c>
      <c r="N65" s="158">
        <f>SUMIF('Don gia XD'!F241:F408,B65,'Don gia XD'!O241:O408)</f>
        <v>5.1395620000000003E-3</v>
      </c>
      <c r="O65" s="98">
        <f t="shared" si="13"/>
        <v>0</v>
      </c>
      <c r="P65" s="98">
        <f t="shared" si="14"/>
        <v>15932.6422</v>
      </c>
    </row>
    <row r="66" spans="1:16">
      <c r="A66" s="2355">
        <v>8</v>
      </c>
      <c r="B66" s="2333" t="s">
        <v>1859</v>
      </c>
      <c r="C66" s="2334" t="s">
        <v>1860</v>
      </c>
      <c r="D66" s="2335" t="s">
        <v>1861</v>
      </c>
      <c r="E66" s="2336">
        <f>SUMIF('Don gia XD'!F241:F408,B66,'Don gia XD'!N241:N408)</f>
        <v>672.45637499999998</v>
      </c>
      <c r="F66" s="2337">
        <v>8</v>
      </c>
      <c r="G66" s="2337">
        <f>'Gia vat lieu HTXD'!BA46</f>
        <v>8</v>
      </c>
      <c r="H66" s="2337">
        <f t="shared" si="10"/>
        <v>0</v>
      </c>
      <c r="I66" s="2337">
        <f t="shared" si="11"/>
        <v>0</v>
      </c>
      <c r="J66" s="2337">
        <f t="shared" si="12"/>
        <v>5379.6509999999998</v>
      </c>
      <c r="K66" s="2338">
        <f>J66/J58</f>
        <v>1.5661096163282741E-4</v>
      </c>
      <c r="L66" s="2338"/>
      <c r="M66" s="2360" t="s">
        <v>2061</v>
      </c>
      <c r="N66" s="158">
        <f>SUMIF('Don gia XD'!F241:F408,B66,'Don gia XD'!O241:O408)</f>
        <v>6.7245637499999997</v>
      </c>
      <c r="O66" s="98">
        <f t="shared" si="13"/>
        <v>0</v>
      </c>
      <c r="P66" s="98">
        <f t="shared" si="14"/>
        <v>53.796509999999998</v>
      </c>
    </row>
    <row r="67" spans="1:16">
      <c r="A67" s="2355">
        <v>9</v>
      </c>
      <c r="B67" s="2333" t="s">
        <v>1894</v>
      </c>
      <c r="C67" s="2334" t="s">
        <v>1895</v>
      </c>
      <c r="D67" s="2335" t="s">
        <v>1856</v>
      </c>
      <c r="E67" s="2336">
        <f>SUMIF('Don gia XD'!F241:F408,B67,'Don gia XD'!N241:N408)</f>
        <v>4.8110290999999998</v>
      </c>
      <c r="F67" s="2337">
        <v>21000</v>
      </c>
      <c r="G67" s="2337">
        <f>'Gia vat lieu HTXD'!BA47</f>
        <v>21000</v>
      </c>
      <c r="H67" s="2337">
        <f t="shared" si="10"/>
        <v>0</v>
      </c>
      <c r="I67" s="2337">
        <f t="shared" si="11"/>
        <v>0</v>
      </c>
      <c r="J67" s="2337">
        <f t="shared" si="12"/>
        <v>101031.61109999999</v>
      </c>
      <c r="K67" s="2338">
        <f>J67/J58</f>
        <v>2.9412052509883704E-3</v>
      </c>
      <c r="L67" s="2338"/>
      <c r="M67" s="2360" t="s">
        <v>2061</v>
      </c>
      <c r="N67" s="158">
        <f>SUMIF('Don gia XD'!F241:F408,B67,'Don gia XD'!O241:O408)</f>
        <v>0</v>
      </c>
      <c r="O67" s="98">
        <f t="shared" si="13"/>
        <v>0</v>
      </c>
      <c r="P67" s="98">
        <f t="shared" si="14"/>
        <v>0</v>
      </c>
    </row>
    <row r="68" spans="1:16">
      <c r="A68" s="2355">
        <v>10</v>
      </c>
      <c r="B68" s="2333" t="s">
        <v>1926</v>
      </c>
      <c r="C68" s="2334" t="s">
        <v>1927</v>
      </c>
      <c r="D68" s="2335" t="s">
        <v>1856</v>
      </c>
      <c r="E68" s="2336">
        <f>SUMIF('Don gia XD'!F241:F408,B68,'Don gia XD'!N241:N408)</f>
        <v>73.746000000000009</v>
      </c>
      <c r="F68" s="2337">
        <v>22100</v>
      </c>
      <c r="G68" s="2337">
        <f>'Gia vat lieu HTXD'!BA48</f>
        <v>22100</v>
      </c>
      <c r="H68" s="2337">
        <f t="shared" si="10"/>
        <v>0</v>
      </c>
      <c r="I68" s="2337">
        <f t="shared" si="11"/>
        <v>0</v>
      </c>
      <c r="J68" s="2337">
        <f t="shared" si="12"/>
        <v>1629786.6</v>
      </c>
      <c r="K68" s="2338">
        <f>J68/J58</f>
        <v>4.7445911766822092E-2</v>
      </c>
      <c r="L68" s="2338"/>
      <c r="M68" s="2360" t="s">
        <v>2061</v>
      </c>
      <c r="N68" s="158">
        <f>SUMIF('Don gia XD'!F241:F408,B68,'Don gia XD'!O241:O408)</f>
        <v>0</v>
      </c>
      <c r="O68" s="98">
        <f t="shared" si="13"/>
        <v>0</v>
      </c>
      <c r="P68" s="98">
        <f t="shared" si="14"/>
        <v>0</v>
      </c>
    </row>
    <row r="69" spans="1:16">
      <c r="A69" s="2355">
        <v>11</v>
      </c>
      <c r="B69" s="2333" t="s">
        <v>1885</v>
      </c>
      <c r="C69" s="2334" t="s">
        <v>1886</v>
      </c>
      <c r="D69" s="2335" t="s">
        <v>1856</v>
      </c>
      <c r="E69" s="2336">
        <f>SUMIF('Don gia XD'!F241:F408,B69,'Don gia XD'!N241:N408)</f>
        <v>191.95500000000001</v>
      </c>
      <c r="F69" s="2337">
        <v>22100</v>
      </c>
      <c r="G69" s="2337">
        <f>'Gia vat lieu HTXD'!BA49</f>
        <v>22100</v>
      </c>
      <c r="H69" s="2337">
        <f t="shared" si="10"/>
        <v>0</v>
      </c>
      <c r="I69" s="2337">
        <f t="shared" si="11"/>
        <v>0</v>
      </c>
      <c r="J69" s="2337">
        <f t="shared" si="12"/>
        <v>4242205.5</v>
      </c>
      <c r="K69" s="2338">
        <f>J69/J58</f>
        <v>0.12349795233911445</v>
      </c>
      <c r="L69" s="2338"/>
      <c r="M69" s="2360" t="s">
        <v>2061</v>
      </c>
      <c r="N69" s="158">
        <f>SUMIF('Don gia XD'!F241:F408,B69,'Don gia XD'!O241:O408)</f>
        <v>0</v>
      </c>
      <c r="O69" s="98">
        <f t="shared" si="13"/>
        <v>0</v>
      </c>
      <c r="P69" s="98">
        <f t="shared" si="14"/>
        <v>0</v>
      </c>
    </row>
    <row r="70" spans="1:16">
      <c r="A70" s="2355">
        <v>12</v>
      </c>
      <c r="B70" s="2333" t="s">
        <v>1892</v>
      </c>
      <c r="C70" s="2334" t="s">
        <v>1893</v>
      </c>
      <c r="D70" s="2335" t="s">
        <v>1856</v>
      </c>
      <c r="E70" s="2336">
        <f>SUMIF('Don gia XD'!F241:F408,B70,'Don gia XD'!N241:N408)</f>
        <v>971.65199999999993</v>
      </c>
      <c r="F70" s="2337">
        <v>22000</v>
      </c>
      <c r="G70" s="2337">
        <f>'Gia vat lieu HTXD'!BA50</f>
        <v>22000</v>
      </c>
      <c r="H70" s="2337">
        <f t="shared" si="10"/>
        <v>0</v>
      </c>
      <c r="I70" s="2337">
        <f t="shared" si="11"/>
        <v>0</v>
      </c>
      <c r="J70" s="2337">
        <f t="shared" si="12"/>
        <v>21376344</v>
      </c>
      <c r="K70" s="2338">
        <f>J70/J58</f>
        <v>0.62230241144530007</v>
      </c>
      <c r="L70" s="2338"/>
      <c r="M70" s="2360" t="s">
        <v>2061</v>
      </c>
      <c r="N70" s="158">
        <f>SUMIF('Don gia XD'!F241:F408,B70,'Don gia XD'!O241:O408)</f>
        <v>0</v>
      </c>
      <c r="O70" s="98">
        <f t="shared" si="13"/>
        <v>0</v>
      </c>
      <c r="P70" s="98">
        <f t="shared" si="14"/>
        <v>0</v>
      </c>
    </row>
    <row r="71" spans="1:16">
      <c r="A71" s="2355">
        <v>13</v>
      </c>
      <c r="B71" s="2333" t="s">
        <v>1901</v>
      </c>
      <c r="C71" s="2334" t="s">
        <v>1902</v>
      </c>
      <c r="D71" s="2335" t="s">
        <v>1856</v>
      </c>
      <c r="E71" s="2336">
        <f>SUMIF('Don gia XD'!F241:F408,B71,'Don gia XD'!N241:N408)</f>
        <v>951.72787499999993</v>
      </c>
      <c r="F71" s="2337">
        <v>1380</v>
      </c>
      <c r="G71" s="2337">
        <f>'Gia vat lieu HTXD'!BA51</f>
        <v>1380</v>
      </c>
      <c r="H71" s="2337">
        <f t="shared" si="10"/>
        <v>0</v>
      </c>
      <c r="I71" s="2337">
        <f t="shared" si="11"/>
        <v>0</v>
      </c>
      <c r="J71" s="2337">
        <f t="shared" si="12"/>
        <v>1313384.4674999998</v>
      </c>
      <c r="K71" s="2338">
        <f>J71/J58</f>
        <v>3.8234897477325933E-2</v>
      </c>
      <c r="L71" s="2338"/>
      <c r="M71" s="2360" t="s">
        <v>2061</v>
      </c>
      <c r="N71" s="158">
        <f>SUMIF('Don gia XD'!F241:F408,B71,'Don gia XD'!O241:O408)</f>
        <v>9.5172787499999991</v>
      </c>
      <c r="O71" s="98">
        <f t="shared" si="13"/>
        <v>0</v>
      </c>
      <c r="P71" s="98">
        <f t="shared" si="14"/>
        <v>13133.844674999998</v>
      </c>
    </row>
    <row r="72" spans="1:16">
      <c r="A72" s="2355"/>
      <c r="B72" s="2333"/>
      <c r="C72" s="2334" t="s">
        <v>226</v>
      </c>
      <c r="D72" s="2335" t="s">
        <v>1850</v>
      </c>
      <c r="E72" s="2336"/>
      <c r="F72" s="2337"/>
      <c r="G72" s="2337"/>
      <c r="H72" s="2337"/>
      <c r="I72" s="2337">
        <f>O58</f>
        <v>0</v>
      </c>
      <c r="J72" s="2337">
        <f>P58</f>
        <v>65954.178203749994</v>
      </c>
      <c r="K72" s="2338">
        <f>J72/J58</f>
        <v>1.9200404026566318E-3</v>
      </c>
      <c r="L72" s="2338"/>
      <c r="M72" s="2360"/>
    </row>
    <row r="73" spans="1:16">
      <c r="A73" s="2356" t="s">
        <v>195</v>
      </c>
      <c r="B73" s="2339"/>
      <c r="C73" s="2340" t="s">
        <v>225</v>
      </c>
      <c r="D73" s="2340"/>
      <c r="E73" s="2341"/>
      <c r="F73" s="2342"/>
      <c r="G73" s="2342"/>
      <c r="H73" s="2342"/>
      <c r="I73" s="2342">
        <f>SUM(I74:I75)</f>
        <v>-63757.170886052714</v>
      </c>
      <c r="J73" s="2342">
        <f>SUM(J74:J75)</f>
        <v>9105749.4284539465</v>
      </c>
      <c r="K73" s="2343">
        <f>SUM(K74:K75)</f>
        <v>1</v>
      </c>
      <c r="L73" s="2343">
        <f>J73/(J58+J73+J76)</f>
        <v>0.2085189250388873</v>
      </c>
      <c r="M73" s="2361"/>
      <c r="N73" s="2166"/>
      <c r="O73" s="2167">
        <f>SUM(O74:O75)</f>
        <v>0</v>
      </c>
      <c r="P73" s="2167">
        <f>SUM(P74:P75)</f>
        <v>0</v>
      </c>
    </row>
    <row r="74" spans="1:16">
      <c r="A74" s="2355">
        <v>14</v>
      </c>
      <c r="B74" s="2333" t="s">
        <v>1866</v>
      </c>
      <c r="C74" s="2334" t="s">
        <v>1867</v>
      </c>
      <c r="D74" s="2335" t="s">
        <v>1833</v>
      </c>
      <c r="E74" s="2336">
        <f>SUMIF('Don gia XD'!F241:F408,B74,'Don gia XD'!N241:N408)</f>
        <v>32.899721</v>
      </c>
      <c r="F74" s="2337">
        <v>230100</v>
      </c>
      <c r="G74" s="2337">
        <f>'Nhan cong XD'!H25</f>
        <v>228500</v>
      </c>
      <c r="H74" s="2337">
        <f>G74-F74</f>
        <v>-1600</v>
      </c>
      <c r="I74" s="2337">
        <f>E74*H74</f>
        <v>-52639.553599999999</v>
      </c>
      <c r="J74" s="2337">
        <f>E74*G74</f>
        <v>7517586.2484999998</v>
      </c>
      <c r="K74" s="2338">
        <f>J74/J73</f>
        <v>0.82558676883956394</v>
      </c>
      <c r="L74" s="2338"/>
      <c r="M74" s="2360"/>
      <c r="N74" s="158">
        <f>SUMIF('Don gia XD'!F241:F408,B74,'Don gia XD'!O241:O408)</f>
        <v>0</v>
      </c>
      <c r="O74" s="98">
        <f>H74*N74</f>
        <v>0</v>
      </c>
      <c r="P74" s="98">
        <f>G74*N74</f>
        <v>0</v>
      </c>
    </row>
    <row r="75" spans="1:16">
      <c r="A75" s="2355">
        <v>15</v>
      </c>
      <c r="B75" s="2333" t="s">
        <v>1907</v>
      </c>
      <c r="C75" s="2334" t="s">
        <v>1908</v>
      </c>
      <c r="D75" s="2335" t="s">
        <v>1833</v>
      </c>
      <c r="E75" s="2336">
        <f>SUMIF('Don gia XD'!F241:F408,B75,'Don gia XD'!N241:N408)</f>
        <v>7.600422</v>
      </c>
      <c r="F75" s="2337">
        <v>210420</v>
      </c>
      <c r="G75" s="2337">
        <f>'Nhan cong XD'!H26</f>
        <v>208957.23684210525</v>
      </c>
      <c r="H75" s="2337">
        <f>G75-F75</f>
        <v>-1462.7631578947476</v>
      </c>
      <c r="I75" s="2337">
        <f>E75*H75</f>
        <v>-11117.617286052713</v>
      </c>
      <c r="J75" s="2337">
        <f>E75*G75</f>
        <v>1588163.1799539472</v>
      </c>
      <c r="K75" s="2338">
        <f>J75/J73</f>
        <v>0.17441323116043611</v>
      </c>
      <c r="L75" s="2338"/>
      <c r="M75" s="2360"/>
      <c r="N75" s="158">
        <f>SUMIF('Don gia XD'!F241:F408,B75,'Don gia XD'!O241:O408)</f>
        <v>0</v>
      </c>
      <c r="O75" s="98">
        <f>H75*N75</f>
        <v>0</v>
      </c>
      <c r="P75" s="98">
        <f>G75*N75</f>
        <v>0</v>
      </c>
    </row>
    <row r="76" spans="1:16">
      <c r="A76" s="2356" t="s">
        <v>101</v>
      </c>
      <c r="B76" s="2339"/>
      <c r="C76" s="2340" t="s">
        <v>228</v>
      </c>
      <c r="D76" s="2340"/>
      <c r="E76" s="2341"/>
      <c r="F76" s="2342"/>
      <c r="G76" s="2342"/>
      <c r="H76" s="2342"/>
      <c r="I76" s="2342">
        <f>SUM(I77:I81)</f>
        <v>-613091.13181270007</v>
      </c>
      <c r="J76" s="2342">
        <f>SUM(J77:J81)</f>
        <v>212534.3556602</v>
      </c>
      <c r="K76" s="2343">
        <f>SUM(K77:K81)</f>
        <v>1</v>
      </c>
      <c r="L76" s="2343">
        <f>J76/(J58+J73+J76)</f>
        <v>4.8669728641568891E-3</v>
      </c>
      <c r="M76" s="2361"/>
      <c r="N76" s="2166"/>
      <c r="O76" s="2167">
        <f>SUM(O77:O81)</f>
        <v>0</v>
      </c>
      <c r="P76" s="2167">
        <f>SUM(P77:P81)</f>
        <v>0</v>
      </c>
    </row>
    <row r="77" spans="1:16">
      <c r="A77" s="2355">
        <v>16</v>
      </c>
      <c r="B77" s="2333" t="s">
        <v>1889</v>
      </c>
      <c r="C77" s="2334" t="s">
        <v>1890</v>
      </c>
      <c r="D77" s="2335" t="s">
        <v>1836</v>
      </c>
      <c r="E77" s="2336">
        <f>SUMIF('Don gia XD'!F241:F408,B77,'Don gia XD'!N241:N408)</f>
        <v>0.40436800000000001</v>
      </c>
      <c r="F77" s="2337">
        <v>255589</v>
      </c>
      <c r="G77" s="2423">
        <f>'Gia ca may XD'!V33</f>
        <v>34676</v>
      </c>
      <c r="H77" s="2337">
        <f>G77-F77</f>
        <v>-220913</v>
      </c>
      <c r="I77" s="2337">
        <f>E77*H77</f>
        <v>-89330.147983999996</v>
      </c>
      <c r="J77" s="2337">
        <f>E77*G77</f>
        <v>14021.864767999999</v>
      </c>
      <c r="K77" s="2338">
        <f>J77/J76</f>
        <v>6.5974579612992829E-2</v>
      </c>
      <c r="L77" s="2338"/>
      <c r="M77" s="2360"/>
      <c r="N77" s="158">
        <f>SUMIF('Don gia XD'!F241:F408,B77,'Don gia XD'!O241:O408)</f>
        <v>0</v>
      </c>
      <c r="O77" s="98">
        <f>H77*N77</f>
        <v>0</v>
      </c>
      <c r="P77" s="98">
        <f>G77*N77</f>
        <v>0</v>
      </c>
    </row>
    <row r="78" spans="1:16">
      <c r="A78" s="2355">
        <v>17</v>
      </c>
      <c r="B78" s="2333" t="s">
        <v>1911</v>
      </c>
      <c r="C78" s="2334" t="s">
        <v>1912</v>
      </c>
      <c r="D78" s="2335" t="s">
        <v>1836</v>
      </c>
      <c r="E78" s="2336">
        <f>SUMIF('Don gia XD'!F241:F408,B78,'Don gia XD'!N241:N408)</f>
        <v>0.5781056</v>
      </c>
      <c r="F78" s="2337">
        <v>251085</v>
      </c>
      <c r="G78" s="2423">
        <f>'Gia ca may XD'!V34</f>
        <v>30106</v>
      </c>
      <c r="H78" s="2337">
        <f>G78-F78</f>
        <v>-220979</v>
      </c>
      <c r="I78" s="2337">
        <f>E78*H78</f>
        <v>-127749.1973824</v>
      </c>
      <c r="J78" s="2337">
        <f>E78*G78</f>
        <v>17404.447193600001</v>
      </c>
      <c r="K78" s="2338">
        <f>J78/J76</f>
        <v>8.1890041445469811E-2</v>
      </c>
      <c r="L78" s="2338"/>
      <c r="M78" s="2360"/>
      <c r="N78" s="158">
        <f>SUMIF('Don gia XD'!F241:F408,B78,'Don gia XD'!O241:O408)</f>
        <v>0</v>
      </c>
      <c r="O78" s="98">
        <f>H78*N78</f>
        <v>0</v>
      </c>
      <c r="P78" s="98">
        <f>G78*N78</f>
        <v>0</v>
      </c>
    </row>
    <row r="79" spans="1:16">
      <c r="A79" s="2355">
        <v>18</v>
      </c>
      <c r="B79" s="2333" t="s">
        <v>1896</v>
      </c>
      <c r="C79" s="2334" t="s">
        <v>1897</v>
      </c>
      <c r="D79" s="2335" t="s">
        <v>1836</v>
      </c>
      <c r="E79" s="2336">
        <f>SUMIF('Don gia XD'!F241:F408,B79,'Don gia XD'!N241:N408)</f>
        <v>1.1604886999999999</v>
      </c>
      <c r="F79" s="2337">
        <v>381197</v>
      </c>
      <c r="G79" s="2423">
        <f>'Gia ca may XD'!V35</f>
        <v>120198</v>
      </c>
      <c r="H79" s="2337">
        <f>G79-F79</f>
        <v>-260999</v>
      </c>
      <c r="I79" s="2337">
        <f>E79*H79</f>
        <v>-302886.39021129999</v>
      </c>
      <c r="J79" s="2337">
        <f>E79*G79</f>
        <v>139488.4207626</v>
      </c>
      <c r="K79" s="2338">
        <f>J79/J76</f>
        <v>0.65630998964522291</v>
      </c>
      <c r="L79" s="2338"/>
      <c r="M79" s="2360"/>
      <c r="N79" s="158">
        <f>SUMIF('Don gia XD'!F241:F408,B79,'Don gia XD'!O241:O408)</f>
        <v>0</v>
      </c>
      <c r="O79" s="98">
        <f>H79*N79</f>
        <v>0</v>
      </c>
      <c r="P79" s="98">
        <f>G79*N79</f>
        <v>0</v>
      </c>
    </row>
    <row r="80" spans="1:16">
      <c r="A80" s="2355">
        <v>19</v>
      </c>
      <c r="B80" s="2333" t="s">
        <v>1909</v>
      </c>
      <c r="C80" s="2334" t="s">
        <v>1910</v>
      </c>
      <c r="D80" s="2335" t="s">
        <v>1836</v>
      </c>
      <c r="E80" s="2336">
        <f>SUMIF('Don gia XD'!F241:F408,B80,'Don gia XD'!N241:N408)</f>
        <v>0.34057500000000002</v>
      </c>
      <c r="F80" s="2337">
        <v>295109</v>
      </c>
      <c r="G80" s="2423">
        <f>'Gia ca may XD'!V36</f>
        <v>74264</v>
      </c>
      <c r="H80" s="2337">
        <f>G80-F80</f>
        <v>-220845</v>
      </c>
      <c r="I80" s="2337">
        <f>E80*H80</f>
        <v>-75214.285875000001</v>
      </c>
      <c r="J80" s="2337">
        <f>E80*G80</f>
        <v>25292.461800000001</v>
      </c>
      <c r="K80" s="2338">
        <f>J80/J76</f>
        <v>0.11900410981289819</v>
      </c>
      <c r="L80" s="2338"/>
      <c r="M80" s="2360"/>
      <c r="N80" s="158">
        <f>SUMIF('Don gia XD'!F241:F408,B80,'Don gia XD'!O241:O408)</f>
        <v>0</v>
      </c>
      <c r="O80" s="98">
        <f>H80*N80</f>
        <v>0</v>
      </c>
      <c r="P80" s="98">
        <f>G80*N80</f>
        <v>0</v>
      </c>
    </row>
    <row r="81" spans="1:16">
      <c r="A81" s="2355">
        <v>20</v>
      </c>
      <c r="B81" s="2333" t="s">
        <v>1930</v>
      </c>
      <c r="C81" s="2334" t="s">
        <v>1931</v>
      </c>
      <c r="D81" s="2335" t="s">
        <v>1836</v>
      </c>
      <c r="E81" s="2336">
        <f>SUMIF('Don gia XD'!F241:F408,B81,'Don gia XD'!N241:N408)</f>
        <v>8.1224000000000005E-2</v>
      </c>
      <c r="F81" s="2337">
        <v>421529</v>
      </c>
      <c r="G81" s="2423">
        <f>'Gia ca may XD'!V37</f>
        <v>201014</v>
      </c>
      <c r="H81" s="2337">
        <f>G81-F81</f>
        <v>-220515</v>
      </c>
      <c r="I81" s="2337">
        <f>E81*H81</f>
        <v>-17911.110360000002</v>
      </c>
      <c r="J81" s="2337">
        <f>E81*G81</f>
        <v>16327.161136000001</v>
      </c>
      <c r="K81" s="2338">
        <f>J81/J76</f>
        <v>7.6821279483416188E-2</v>
      </c>
      <c r="L81" s="2338"/>
      <c r="M81" s="2360"/>
      <c r="N81" s="158">
        <f>SUMIF('Don gia XD'!F241:F408,B81,'Don gia XD'!O241:O408)</f>
        <v>0</v>
      </c>
      <c r="O81" s="98">
        <f>H81*N81</f>
        <v>0</v>
      </c>
      <c r="P81" s="98">
        <f>G81*N81</f>
        <v>0</v>
      </c>
    </row>
    <row r="82" spans="1:16">
      <c r="A82" s="2357" t="s">
        <v>110</v>
      </c>
      <c r="B82" s="2344"/>
      <c r="C82" s="2345" t="s">
        <v>232</v>
      </c>
      <c r="D82" s="2345"/>
      <c r="E82" s="2346"/>
      <c r="F82" s="2347"/>
      <c r="G82" s="2347"/>
      <c r="H82" s="2347"/>
      <c r="I82" s="2347"/>
      <c r="J82" s="2347">
        <f>J58+J73+J76</f>
        <v>43668695.427792892</v>
      </c>
      <c r="K82" s="2338"/>
      <c r="L82" s="2338"/>
      <c r="M82" s="2360"/>
    </row>
    <row r="83" spans="1:16">
      <c r="A83" s="2358"/>
      <c r="B83" s="2348"/>
      <c r="C83" s="2349"/>
      <c r="D83" s="2350"/>
      <c r="E83" s="2351"/>
      <c r="F83" s="2352"/>
      <c r="G83" s="2352"/>
      <c r="H83" s="2352"/>
      <c r="I83" s="2352"/>
      <c r="J83" s="2352"/>
      <c r="K83" s="2353"/>
      <c r="L83" s="2353"/>
      <c r="M83" s="2362"/>
    </row>
    <row r="84" spans="1:16" ht="22.5">
      <c r="A84" s="449" t="s">
        <v>2060</v>
      </c>
      <c r="B84" s="255"/>
      <c r="C84" s="101"/>
      <c r="D84" s="101"/>
      <c r="E84" s="253"/>
      <c r="F84" s="171"/>
      <c r="G84" s="171"/>
      <c r="H84" s="171"/>
      <c r="I84" s="171"/>
      <c r="J84" s="171"/>
      <c r="K84" s="858"/>
      <c r="L84" s="858"/>
      <c r="M84" s="25"/>
    </row>
    <row r="85" spans="1:16" ht="18.75">
      <c r="A85" s="1019" t="str">
        <f>Ts!H4&amp;Ts!K4</f>
        <v>CÔNG TRÌNH: NHÀ 01 TẦNG, TƯỜNG CHỊU LỰC 110MM, MÁI LỢP FIBRÔXIMĂNG, KHÔNG CÓ KHU VỆ SINH KHÉP KÍN</v>
      </c>
      <c r="B85" s="183"/>
      <c r="C85" s="94"/>
      <c r="D85" s="94"/>
      <c r="E85" s="254"/>
      <c r="F85" s="48"/>
      <c r="G85" s="48"/>
      <c r="H85" s="48"/>
      <c r="I85" s="48"/>
      <c r="J85" s="48"/>
      <c r="K85" s="859"/>
      <c r="L85" s="859"/>
      <c r="M85" s="322"/>
    </row>
    <row r="86" spans="1:16" ht="18.75">
      <c r="A86" s="1019" t="str">
        <f>"HẠNG MỤC: "&amp;'Don gia XD'!G408</f>
        <v>HẠNG MỤC: CÔNG TÁC XÂY</v>
      </c>
      <c r="B86" s="183"/>
      <c r="C86" s="94"/>
      <c r="D86" s="94"/>
      <c r="E86" s="254"/>
      <c r="F86" s="48"/>
      <c r="G86" s="48"/>
      <c r="H86" s="48"/>
      <c r="I86" s="48"/>
      <c r="J86" s="48"/>
      <c r="K86" s="859"/>
      <c r="L86" s="859"/>
      <c r="M86" s="322"/>
    </row>
    <row r="87" spans="1:16">
      <c r="A87" s="17"/>
      <c r="F87" s="162"/>
      <c r="I87" s="162" t="s">
        <v>310</v>
      </c>
      <c r="J87" s="162" t="s">
        <v>310</v>
      </c>
      <c r="K87" s="860"/>
      <c r="L87" s="860"/>
      <c r="M87" s="780"/>
    </row>
    <row r="88" spans="1:16" ht="78.75">
      <c r="A88" s="1022" t="s">
        <v>196</v>
      </c>
      <c r="B88" s="1022" t="s">
        <v>135</v>
      </c>
      <c r="C88" s="1022" t="s">
        <v>138</v>
      </c>
      <c r="D88" s="1022" t="s">
        <v>122</v>
      </c>
      <c r="E88" s="1023" t="s">
        <v>136</v>
      </c>
      <c r="F88" s="1024" t="s">
        <v>246</v>
      </c>
      <c r="G88" s="1024" t="s">
        <v>272</v>
      </c>
      <c r="H88" s="1024" t="s">
        <v>139</v>
      </c>
      <c r="I88" s="1024" t="s">
        <v>124</v>
      </c>
      <c r="J88" s="1024" t="s">
        <v>124</v>
      </c>
      <c r="K88" s="1025" t="s">
        <v>616</v>
      </c>
      <c r="L88" s="1025" t="s">
        <v>617</v>
      </c>
      <c r="M88" s="1022" t="s">
        <v>322</v>
      </c>
    </row>
    <row r="89" spans="1:16">
      <c r="A89" s="2354" t="s">
        <v>97</v>
      </c>
      <c r="B89" s="2328"/>
      <c r="C89" s="2329" t="s">
        <v>224</v>
      </c>
      <c r="D89" s="2329"/>
      <c r="E89" s="2330"/>
      <c r="F89" s="2331"/>
      <c r="G89" s="2331"/>
      <c r="H89" s="2331"/>
      <c r="I89" s="2331">
        <f>SUM(I90:I94)</f>
        <v>0</v>
      </c>
      <c r="J89" s="2331">
        <f>SUM(J90:J94)</f>
        <v>36884292.991149597</v>
      </c>
      <c r="K89" s="2332">
        <f>SUM(K90:K94)</f>
        <v>1</v>
      </c>
      <c r="L89" s="2332">
        <f>J89/(J89+J95+J97)</f>
        <v>0.58496855107191503</v>
      </c>
      <c r="M89" s="2359"/>
      <c r="N89" s="2166"/>
      <c r="O89" s="2167">
        <f>SUM(O90:O94)</f>
        <v>0</v>
      </c>
      <c r="P89" s="2167">
        <f>SUM(P90:P94)</f>
        <v>1660845.5866775999</v>
      </c>
    </row>
    <row r="90" spans="1:16">
      <c r="A90" s="2355">
        <v>1</v>
      </c>
      <c r="B90" s="2333" t="s">
        <v>1935</v>
      </c>
      <c r="C90" s="2334" t="s">
        <v>1936</v>
      </c>
      <c r="D90" s="2335" t="s">
        <v>1848</v>
      </c>
      <c r="E90" s="2336">
        <f>SUMIF('Don gia XD'!F409:F474,B90,'Don gia XD'!N409:N474)</f>
        <v>16.057254751999999</v>
      </c>
      <c r="F90" s="2337">
        <v>85000</v>
      </c>
      <c r="G90" s="2337">
        <f>'Gia vat lieu HTXD'!BA59</f>
        <v>85000</v>
      </c>
      <c r="H90" s="2337">
        <f>G90-F90</f>
        <v>0</v>
      </c>
      <c r="I90" s="2337">
        <f>E90*H90</f>
        <v>0</v>
      </c>
      <c r="J90" s="2337">
        <f>E90*G90</f>
        <v>1364866.65392</v>
      </c>
      <c r="K90" s="2338">
        <f>J90/J89</f>
        <v>3.7004007484906933E-2</v>
      </c>
      <c r="L90" s="2338"/>
      <c r="M90" s="2360" t="s">
        <v>2061</v>
      </c>
      <c r="N90" s="158">
        <f>SUMIF('Don gia XD'!F409:F474,B90,'Don gia XD'!O409:O474)</f>
        <v>0.75840540160000003</v>
      </c>
      <c r="O90" s="98">
        <f>H90*N90</f>
        <v>0</v>
      </c>
      <c r="P90" s="98">
        <f>G90*N90</f>
        <v>64464.459136000005</v>
      </c>
    </row>
    <row r="91" spans="1:16">
      <c r="A91" s="2355">
        <v>2</v>
      </c>
      <c r="B91" s="2333" t="s">
        <v>1937</v>
      </c>
      <c r="C91" s="2334" t="s">
        <v>1938</v>
      </c>
      <c r="D91" s="2335" t="s">
        <v>1939</v>
      </c>
      <c r="E91" s="2336">
        <f>SUMIF('Don gia XD'!F409:F474,B91,'Don gia XD'!N409:N474)</f>
        <v>34056.114199999996</v>
      </c>
      <c r="F91" s="2337">
        <v>893</v>
      </c>
      <c r="G91" s="2337">
        <f>'Gia vat lieu HTXD'!BA60</f>
        <v>893</v>
      </c>
      <c r="H91" s="2337">
        <f>G91-F91</f>
        <v>0</v>
      </c>
      <c r="I91" s="2337">
        <f>E91*H91</f>
        <v>0</v>
      </c>
      <c r="J91" s="2337">
        <f>E91*G91</f>
        <v>30412109.980599996</v>
      </c>
      <c r="K91" s="2338">
        <f>J91/J89</f>
        <v>0.82452739402914399</v>
      </c>
      <c r="L91" s="2338"/>
      <c r="M91" s="2360" t="s">
        <v>2061</v>
      </c>
      <c r="N91" s="158">
        <f>SUMIF('Don gia XD'!F409:F474,B91,'Don gia XD'!O409:O474)</f>
        <v>1605.3748599999999</v>
      </c>
      <c r="O91" s="98">
        <f>H91*N91</f>
        <v>0</v>
      </c>
      <c r="P91" s="98">
        <f>G91*N91</f>
        <v>1433599.7499799998</v>
      </c>
    </row>
    <row r="92" spans="1:16">
      <c r="A92" s="2355">
        <v>3</v>
      </c>
      <c r="B92" s="2333" t="s">
        <v>1859</v>
      </c>
      <c r="C92" s="2334" t="s">
        <v>1860</v>
      </c>
      <c r="D92" s="2335" t="s">
        <v>1861</v>
      </c>
      <c r="E92" s="2336">
        <f>SUMIF('Don gia XD'!F409:F474,B92,'Don gia XD'!N409:N474)</f>
        <v>3636.3425940000002</v>
      </c>
      <c r="F92" s="2337">
        <v>8</v>
      </c>
      <c r="G92" s="2337">
        <f>'Gia vat lieu HTXD'!BA61</f>
        <v>8</v>
      </c>
      <c r="H92" s="2337">
        <f>G92-F92</f>
        <v>0</v>
      </c>
      <c r="I92" s="2337">
        <f>E92*H92</f>
        <v>0</v>
      </c>
      <c r="J92" s="2337">
        <f>E92*G92</f>
        <v>29090.740752000002</v>
      </c>
      <c r="K92" s="2338">
        <f>J92/J89</f>
        <v>7.887026805415611E-4</v>
      </c>
      <c r="L92" s="2338"/>
      <c r="M92" s="2360" t="s">
        <v>2061</v>
      </c>
      <c r="N92" s="158">
        <f>SUMIF('Don gia XD'!F409:F474,B92,'Don gia XD'!O409:O474)</f>
        <v>171.7492752</v>
      </c>
      <c r="O92" s="98">
        <f>H92*N92</f>
        <v>0</v>
      </c>
      <c r="P92" s="98">
        <f>G92*N92</f>
        <v>1373.9942016</v>
      </c>
    </row>
    <row r="93" spans="1:16">
      <c r="A93" s="2355">
        <v>4</v>
      </c>
      <c r="B93" s="2333" t="s">
        <v>1901</v>
      </c>
      <c r="C93" s="2334" t="s">
        <v>1902</v>
      </c>
      <c r="D93" s="2335" t="s">
        <v>1856</v>
      </c>
      <c r="E93" s="2336">
        <f>SUMIF('Don gia XD'!F409:F474,B93,'Don gia XD'!N409:N474)</f>
        <v>2476.3623399999997</v>
      </c>
      <c r="F93" s="2337">
        <v>1380</v>
      </c>
      <c r="G93" s="2337">
        <f>'Gia vat lieu HTXD'!BA62</f>
        <v>1380</v>
      </c>
      <c r="H93" s="2337">
        <f>G93-F93</f>
        <v>0</v>
      </c>
      <c r="I93" s="2337">
        <f>E93*H93</f>
        <v>0</v>
      </c>
      <c r="J93" s="2337">
        <f>E93*G93</f>
        <v>3417380.0291999998</v>
      </c>
      <c r="K93" s="2338">
        <f>J93/J89</f>
        <v>9.2651363278672627E-2</v>
      </c>
      <c r="L93" s="2338"/>
      <c r="M93" s="2360" t="s">
        <v>2061</v>
      </c>
      <c r="N93" s="158">
        <f>SUMIF('Don gia XD'!F409:F474,B93,'Don gia XD'!O409:O474)</f>
        <v>116.961872</v>
      </c>
      <c r="O93" s="98">
        <f>H93*N93</f>
        <v>0</v>
      </c>
      <c r="P93" s="98">
        <f>G93*N93</f>
        <v>161407.38336000001</v>
      </c>
    </row>
    <row r="94" spans="1:16">
      <c r="A94" s="2355"/>
      <c r="B94" s="2333"/>
      <c r="C94" s="2334" t="s">
        <v>226</v>
      </c>
      <c r="D94" s="2335" t="s">
        <v>1850</v>
      </c>
      <c r="E94" s="2336"/>
      <c r="F94" s="2337"/>
      <c r="G94" s="2337"/>
      <c r="H94" s="2337"/>
      <c r="I94" s="2337">
        <f>O89</f>
        <v>0</v>
      </c>
      <c r="J94" s="2337">
        <f>P89</f>
        <v>1660845.5866775999</v>
      </c>
      <c r="K94" s="2338">
        <f>J94/J89</f>
        <v>4.5028532526734909E-2</v>
      </c>
      <c r="L94" s="2338"/>
      <c r="M94" s="2360"/>
    </row>
    <row r="95" spans="1:16">
      <c r="A95" s="2356" t="s">
        <v>195</v>
      </c>
      <c r="B95" s="2339"/>
      <c r="C95" s="2340" t="s">
        <v>225</v>
      </c>
      <c r="D95" s="2340"/>
      <c r="E95" s="2341"/>
      <c r="F95" s="2342"/>
      <c r="G95" s="2342"/>
      <c r="H95" s="2342"/>
      <c r="I95" s="2342">
        <f>SUM(I96:I96)</f>
        <v>-182714.69760000001</v>
      </c>
      <c r="J95" s="2342">
        <f>SUM(J96:J96)</f>
        <v>26093942.750999998</v>
      </c>
      <c r="K95" s="2343">
        <f>SUM(K96:K96)</f>
        <v>1</v>
      </c>
      <c r="L95" s="2343">
        <f>J95/(J89+J95+J97)</f>
        <v>0.41383837522569855</v>
      </c>
      <c r="M95" s="2361"/>
      <c r="N95" s="2166"/>
      <c r="O95" s="2167">
        <f>SUM(O96:O96)</f>
        <v>0</v>
      </c>
      <c r="P95" s="2167">
        <f>SUM(P96:P96)</f>
        <v>0</v>
      </c>
    </row>
    <row r="96" spans="1:16">
      <c r="A96" s="2355">
        <v>5</v>
      </c>
      <c r="B96" s="2333" t="s">
        <v>1866</v>
      </c>
      <c r="C96" s="2334" t="s">
        <v>1867</v>
      </c>
      <c r="D96" s="2335" t="s">
        <v>1833</v>
      </c>
      <c r="E96" s="2336">
        <f>SUMIF('Don gia XD'!F409:F474,B96,'Don gia XD'!N409:N474)</f>
        <v>114.196686</v>
      </c>
      <c r="F96" s="2337">
        <v>230100</v>
      </c>
      <c r="G96" s="2337">
        <f>'Nhan cong XD'!H34</f>
        <v>228500</v>
      </c>
      <c r="H96" s="2337">
        <f>G96-F96</f>
        <v>-1600</v>
      </c>
      <c r="I96" s="2337">
        <f>E96*H96</f>
        <v>-182714.69760000001</v>
      </c>
      <c r="J96" s="2337">
        <f>E96*G96</f>
        <v>26093942.750999998</v>
      </c>
      <c r="K96" s="2338">
        <f>J96/J95</f>
        <v>1</v>
      </c>
      <c r="L96" s="2338"/>
      <c r="M96" s="2360"/>
      <c r="N96" s="158">
        <f>SUMIF('Don gia XD'!F409:F474,B96,'Don gia XD'!O409:O474)</f>
        <v>0</v>
      </c>
      <c r="O96" s="98">
        <f>H96*N96</f>
        <v>0</v>
      </c>
      <c r="P96" s="98">
        <f>G96*N96</f>
        <v>0</v>
      </c>
    </row>
    <row r="97" spans="1:16">
      <c r="A97" s="2356" t="s">
        <v>101</v>
      </c>
      <c r="B97" s="2339"/>
      <c r="C97" s="2340" t="s">
        <v>228</v>
      </c>
      <c r="D97" s="2340"/>
      <c r="E97" s="2341"/>
      <c r="F97" s="2342"/>
      <c r="G97" s="2342"/>
      <c r="H97" s="2342"/>
      <c r="I97" s="2342">
        <f>SUM(I98:I98)</f>
        <v>-344652.2513456</v>
      </c>
      <c r="J97" s="2342">
        <f>SUM(J98:J98)</f>
        <v>75227.42875359999</v>
      </c>
      <c r="K97" s="2343">
        <f>SUM(K98:K98)</f>
        <v>1</v>
      </c>
      <c r="L97" s="2343">
        <f>J97/(J89+J95+J97)</f>
        <v>1.1930737023864951E-3</v>
      </c>
      <c r="M97" s="2361"/>
      <c r="N97" s="2166"/>
      <c r="O97" s="2167">
        <f>SUM(O98:O98)</f>
        <v>0</v>
      </c>
      <c r="P97" s="2167">
        <f>SUM(P98:P98)</f>
        <v>0</v>
      </c>
    </row>
    <row r="98" spans="1:16">
      <c r="A98" s="2355">
        <v>6</v>
      </c>
      <c r="B98" s="2333" t="s">
        <v>1868</v>
      </c>
      <c r="C98" s="2334" t="s">
        <v>1869</v>
      </c>
      <c r="D98" s="2335" t="s">
        <v>1836</v>
      </c>
      <c r="E98" s="2336">
        <f>SUMIF('Don gia XD'!F409:F474,B98,'Don gia XD'!N409:N474)</f>
        <v>1.5598935999999999</v>
      </c>
      <c r="F98" s="2337">
        <v>269172</v>
      </c>
      <c r="G98" s="2423">
        <f>'Gia ca may XD'!V46</f>
        <v>48226</v>
      </c>
      <c r="H98" s="2337">
        <f>G98-F98</f>
        <v>-220946</v>
      </c>
      <c r="I98" s="2337">
        <f>E98*H98</f>
        <v>-344652.2513456</v>
      </c>
      <c r="J98" s="2337">
        <f>E98*G98</f>
        <v>75227.42875359999</v>
      </c>
      <c r="K98" s="2338">
        <f>J98/J97</f>
        <v>1</v>
      </c>
      <c r="L98" s="2338"/>
      <c r="M98" s="2360"/>
      <c r="N98" s="158">
        <f>SUMIF('Don gia XD'!F409:F474,B98,'Don gia XD'!O409:O474)</f>
        <v>0</v>
      </c>
      <c r="O98" s="98">
        <f>H98*N98</f>
        <v>0</v>
      </c>
      <c r="P98" s="98">
        <f>G98*N98</f>
        <v>0</v>
      </c>
    </row>
    <row r="99" spans="1:16">
      <c r="A99" s="2357" t="s">
        <v>110</v>
      </c>
      <c r="B99" s="2344"/>
      <c r="C99" s="2345" t="s">
        <v>232</v>
      </c>
      <c r="D99" s="2345"/>
      <c r="E99" s="2346"/>
      <c r="F99" s="2347"/>
      <c r="G99" s="2347"/>
      <c r="H99" s="2347"/>
      <c r="I99" s="2347"/>
      <c r="J99" s="2347">
        <f>J89+J95+J97</f>
        <v>63053463.170903191</v>
      </c>
      <c r="K99" s="2338"/>
      <c r="L99" s="2338"/>
      <c r="M99" s="2360"/>
    </row>
    <row r="100" spans="1:16">
      <c r="A100" s="2358"/>
      <c r="B100" s="2348"/>
      <c r="C100" s="2349"/>
      <c r="D100" s="2350"/>
      <c r="E100" s="2351"/>
      <c r="F100" s="2352"/>
      <c r="G100" s="2352"/>
      <c r="H100" s="2352"/>
      <c r="I100" s="2352"/>
      <c r="J100" s="2352"/>
      <c r="K100" s="2353"/>
      <c r="L100" s="2353"/>
      <c r="M100" s="2362"/>
    </row>
    <row r="101" spans="1:16" ht="22.5">
      <c r="A101" s="449" t="s">
        <v>2060</v>
      </c>
      <c r="B101" s="255"/>
      <c r="C101" s="101"/>
      <c r="D101" s="101"/>
      <c r="E101" s="253"/>
      <c r="F101" s="171"/>
      <c r="G101" s="171"/>
      <c r="H101" s="171"/>
      <c r="I101" s="171"/>
      <c r="J101" s="171"/>
      <c r="K101" s="858"/>
      <c r="L101" s="858"/>
      <c r="M101" s="25"/>
    </row>
    <row r="102" spans="1:16" ht="18.75">
      <c r="A102" s="1019" t="str">
        <f>Ts!H4&amp;Ts!K4</f>
        <v>CÔNG TRÌNH: NHÀ 01 TẦNG, TƯỜNG CHỊU LỰC 110MM, MÁI LỢP FIBRÔXIMĂNG, KHÔNG CÓ KHU VỆ SINH KHÉP KÍN</v>
      </c>
      <c r="B102" s="183"/>
      <c r="C102" s="94"/>
      <c r="D102" s="94"/>
      <c r="E102" s="254"/>
      <c r="F102" s="48"/>
      <c r="G102" s="48"/>
      <c r="H102" s="48"/>
      <c r="I102" s="48"/>
      <c r="J102" s="48"/>
      <c r="K102" s="859"/>
      <c r="L102" s="859"/>
      <c r="M102" s="322"/>
    </row>
    <row r="103" spans="1:16" ht="18.75">
      <c r="A103" s="1019" t="str">
        <f>"HẠNG MỤC: "&amp;'Don gia XD'!G474</f>
        <v>HẠNG MỤC: HỆ KÉT CẤU MÁI</v>
      </c>
      <c r="B103" s="183"/>
      <c r="C103" s="94"/>
      <c r="D103" s="94"/>
      <c r="E103" s="254"/>
      <c r="F103" s="48"/>
      <c r="G103" s="48"/>
      <c r="H103" s="48"/>
      <c r="I103" s="48"/>
      <c r="J103" s="48"/>
      <c r="K103" s="859"/>
      <c r="L103" s="859"/>
      <c r="M103" s="322"/>
    </row>
    <row r="104" spans="1:16">
      <c r="A104" s="17"/>
      <c r="F104" s="162"/>
      <c r="I104" s="162" t="s">
        <v>310</v>
      </c>
      <c r="J104" s="162" t="s">
        <v>310</v>
      </c>
      <c r="K104" s="860"/>
      <c r="L104" s="860"/>
      <c r="M104" s="780"/>
    </row>
    <row r="105" spans="1:16" ht="78.75">
      <c r="A105" s="1022" t="s">
        <v>196</v>
      </c>
      <c r="B105" s="1022" t="s">
        <v>135</v>
      </c>
      <c r="C105" s="1022" t="s">
        <v>138</v>
      </c>
      <c r="D105" s="1022" t="s">
        <v>122</v>
      </c>
      <c r="E105" s="1023" t="s">
        <v>136</v>
      </c>
      <c r="F105" s="1024" t="s">
        <v>246</v>
      </c>
      <c r="G105" s="1024" t="s">
        <v>272</v>
      </c>
      <c r="H105" s="1024" t="s">
        <v>139</v>
      </c>
      <c r="I105" s="1024" t="s">
        <v>124</v>
      </c>
      <c r="J105" s="1024" t="s">
        <v>124</v>
      </c>
      <c r="K105" s="1025" t="s">
        <v>616</v>
      </c>
      <c r="L105" s="1025" t="s">
        <v>617</v>
      </c>
      <c r="M105" s="1022" t="s">
        <v>322</v>
      </c>
    </row>
    <row r="106" spans="1:16">
      <c r="A106" s="2354" t="s">
        <v>97</v>
      </c>
      <c r="B106" s="2328"/>
      <c r="C106" s="2329" t="s">
        <v>224</v>
      </c>
      <c r="D106" s="2329"/>
      <c r="E106" s="2330"/>
      <c r="F106" s="2331"/>
      <c r="G106" s="2331"/>
      <c r="H106" s="2331"/>
      <c r="I106" s="2331">
        <f>SUM(I107:I114)</f>
        <v>0</v>
      </c>
      <c r="J106" s="2331">
        <f>SUM(J107:J114)</f>
        <v>9004664.0202684011</v>
      </c>
      <c r="K106" s="2332">
        <f>SUM(K107:K114)</f>
        <v>0.99999999999999978</v>
      </c>
      <c r="L106" s="2332">
        <f>J106/(J106+J115+J118)</f>
        <v>0.7717562281740592</v>
      </c>
      <c r="M106" s="2359"/>
      <c r="N106" s="2166"/>
      <c r="O106" s="2167">
        <f>SUM(O107:O114)</f>
        <v>0</v>
      </c>
      <c r="P106" s="2167">
        <f>SUM(P107:P114)</f>
        <v>26434.093588400003</v>
      </c>
    </row>
    <row r="107" spans="1:16">
      <c r="A107" s="2355">
        <v>1</v>
      </c>
      <c r="B107" s="2333" t="s">
        <v>1953</v>
      </c>
      <c r="C107" s="2334" t="s">
        <v>1954</v>
      </c>
      <c r="D107" s="2335" t="s">
        <v>1955</v>
      </c>
      <c r="E107" s="2336">
        <f>SUMIF('Don gia XD'!F475:F533,B107,'Don gia XD'!N475:N533)</f>
        <v>11.3088</v>
      </c>
      <c r="F107" s="2337">
        <v>5000</v>
      </c>
      <c r="G107" s="2337">
        <f>'Gia vat lieu HTXD'!BA70</f>
        <v>5000</v>
      </c>
      <c r="H107" s="2337">
        <f t="shared" ref="H107:H113" si="15">G107-F107</f>
        <v>0</v>
      </c>
      <c r="I107" s="2337">
        <f t="shared" ref="I107:I113" si="16">E107*H107</f>
        <v>0</v>
      </c>
      <c r="J107" s="2337">
        <f t="shared" ref="J107:J113" si="17">E107*G107</f>
        <v>56544</v>
      </c>
      <c r="K107" s="2338">
        <f>J107/J106</f>
        <v>6.2794125214140524E-3</v>
      </c>
      <c r="L107" s="2338"/>
      <c r="M107" s="2360" t="s">
        <v>2061</v>
      </c>
      <c r="N107" s="158">
        <f>SUMIF('Don gia XD'!F475:F533,B107,'Don gia XD'!O475:O533)</f>
        <v>0.11308799999999999</v>
      </c>
      <c r="O107" s="98">
        <f t="shared" ref="O107:O113" si="18">H107*N107</f>
        <v>0</v>
      </c>
      <c r="P107" s="98">
        <f t="shared" ref="P107:P113" si="19">G107*N107</f>
        <v>565.43999999999994</v>
      </c>
    </row>
    <row r="108" spans="1:16">
      <c r="A108" s="2355">
        <v>2</v>
      </c>
      <c r="B108" s="2333" t="s">
        <v>1959</v>
      </c>
      <c r="C108" s="2334" t="s">
        <v>1960</v>
      </c>
      <c r="D108" s="2335" t="s">
        <v>1961</v>
      </c>
      <c r="E108" s="2336">
        <f>SUMIF('Don gia XD'!F475:F533,B108,'Don gia XD'!N475:N533)</f>
        <v>155.85325</v>
      </c>
      <c r="F108" s="2337">
        <v>21000</v>
      </c>
      <c r="G108" s="2337">
        <f>'Gia vat lieu HTXD'!BA71</f>
        <v>21000</v>
      </c>
      <c r="H108" s="2337">
        <f t="shared" si="15"/>
        <v>0</v>
      </c>
      <c r="I108" s="2337">
        <f t="shared" si="16"/>
        <v>0</v>
      </c>
      <c r="J108" s="2337">
        <f t="shared" si="17"/>
        <v>3272918.25</v>
      </c>
      <c r="K108" s="2338">
        <f>J108/J106</f>
        <v>0.36346922468545856</v>
      </c>
      <c r="L108" s="2338"/>
      <c r="M108" s="2360" t="s">
        <v>2061</v>
      </c>
      <c r="N108" s="158">
        <f>SUMIF('Don gia XD'!F475:F533,B108,'Don gia XD'!O475:O533)</f>
        <v>0</v>
      </c>
      <c r="O108" s="98">
        <f t="shared" si="18"/>
        <v>0</v>
      </c>
      <c r="P108" s="98">
        <f t="shared" si="19"/>
        <v>0</v>
      </c>
    </row>
    <row r="109" spans="1:16">
      <c r="A109" s="2355">
        <v>3</v>
      </c>
      <c r="B109" s="2333" t="s">
        <v>1949</v>
      </c>
      <c r="C109" s="2334" t="s">
        <v>1950</v>
      </c>
      <c r="D109" s="2335" t="s">
        <v>1856</v>
      </c>
      <c r="E109" s="2336">
        <f>SUMIF('Don gia XD'!F475:F533,B109,'Don gia XD'!N475:N533)</f>
        <v>0.108376</v>
      </c>
      <c r="F109" s="2337">
        <v>29000</v>
      </c>
      <c r="G109" s="2337">
        <f>'Gia vat lieu HTXD'!BA72</f>
        <v>29000</v>
      </c>
      <c r="H109" s="2337">
        <f t="shared" si="15"/>
        <v>0</v>
      </c>
      <c r="I109" s="2337">
        <f t="shared" si="16"/>
        <v>0</v>
      </c>
      <c r="J109" s="2337">
        <f t="shared" si="17"/>
        <v>3142.904</v>
      </c>
      <c r="K109" s="2338">
        <f>J109/J106</f>
        <v>3.4903067931526442E-4</v>
      </c>
      <c r="L109" s="2338"/>
      <c r="M109" s="2360" t="s">
        <v>2061</v>
      </c>
      <c r="N109" s="158">
        <f>SUMIF('Don gia XD'!F475:F533,B109,'Don gia XD'!O475:O533)</f>
        <v>5.4188000000000001E-4</v>
      </c>
      <c r="O109" s="98">
        <f t="shared" si="18"/>
        <v>0</v>
      </c>
      <c r="P109" s="98">
        <f t="shared" si="19"/>
        <v>15.71452</v>
      </c>
    </row>
    <row r="110" spans="1:16">
      <c r="A110" s="2355">
        <v>4</v>
      </c>
      <c r="B110" s="2333" t="s">
        <v>1962</v>
      </c>
      <c r="C110" s="2334" t="s">
        <v>1963</v>
      </c>
      <c r="D110" s="2335" t="s">
        <v>1955</v>
      </c>
      <c r="E110" s="2336">
        <f>SUMIF('Don gia XD'!F475:F533,B110,'Don gia XD'!N475:N533)</f>
        <v>336.98</v>
      </c>
      <c r="F110" s="2337">
        <v>1500</v>
      </c>
      <c r="G110" s="2337">
        <f>'Gia vat lieu HTXD'!BA73</f>
        <v>1500</v>
      </c>
      <c r="H110" s="2337">
        <f t="shared" si="15"/>
        <v>0</v>
      </c>
      <c r="I110" s="2337">
        <f t="shared" si="16"/>
        <v>0</v>
      </c>
      <c r="J110" s="2337">
        <f t="shared" si="17"/>
        <v>505470</v>
      </c>
      <c r="K110" s="2338">
        <f>J110/J106</f>
        <v>5.6134243194665416E-2</v>
      </c>
      <c r="L110" s="2338"/>
      <c r="M110" s="2360" t="s">
        <v>2061</v>
      </c>
      <c r="N110" s="158">
        <f>SUMIF('Don gia XD'!F475:F533,B110,'Don gia XD'!O475:O533)</f>
        <v>0</v>
      </c>
      <c r="O110" s="98">
        <f t="shared" si="18"/>
        <v>0</v>
      </c>
      <c r="P110" s="98">
        <f t="shared" si="19"/>
        <v>0</v>
      </c>
    </row>
    <row r="111" spans="1:16">
      <c r="A111" s="2355">
        <v>5</v>
      </c>
      <c r="B111" s="2333" t="s">
        <v>1946</v>
      </c>
      <c r="C111" s="2334" t="s">
        <v>1947</v>
      </c>
      <c r="D111" s="2335" t="s">
        <v>1948</v>
      </c>
      <c r="E111" s="2336">
        <f>SUMIF('Don gia XD'!F475:F533,B111,'Don gia XD'!N475:N533)</f>
        <v>5.4659200000000005E-2</v>
      </c>
      <c r="F111" s="2337">
        <v>40400</v>
      </c>
      <c r="G111" s="2337">
        <f>'Gia vat lieu HTXD'!BA74</f>
        <v>40400</v>
      </c>
      <c r="H111" s="2337">
        <f t="shared" si="15"/>
        <v>0</v>
      </c>
      <c r="I111" s="2337">
        <f t="shared" si="16"/>
        <v>0</v>
      </c>
      <c r="J111" s="2337">
        <f t="shared" si="17"/>
        <v>2208.2316800000003</v>
      </c>
      <c r="K111" s="2338">
        <f>J111/J106</f>
        <v>2.4523199033629018E-4</v>
      </c>
      <c r="L111" s="2338"/>
      <c r="M111" s="2360" t="s">
        <v>2061</v>
      </c>
      <c r="N111" s="158">
        <f>SUMIF('Don gia XD'!F475:F533,B111,'Don gia XD'!O475:O533)</f>
        <v>2.7329600000000002E-4</v>
      </c>
      <c r="O111" s="98">
        <f t="shared" si="18"/>
        <v>0</v>
      </c>
      <c r="P111" s="98">
        <f t="shared" si="19"/>
        <v>11.0411584</v>
      </c>
    </row>
    <row r="112" spans="1:16">
      <c r="A112" s="2355">
        <v>6</v>
      </c>
      <c r="B112" s="2333" t="s">
        <v>1894</v>
      </c>
      <c r="C112" s="2334" t="s">
        <v>1895</v>
      </c>
      <c r="D112" s="2335" t="s">
        <v>1856</v>
      </c>
      <c r="E112" s="2336">
        <f>SUMIF('Don gia XD'!F475:F533,B112,'Don gia XD'!N475:N533)</f>
        <v>1.4136</v>
      </c>
      <c r="F112" s="2337">
        <v>21000</v>
      </c>
      <c r="G112" s="2337">
        <f>'Gia vat lieu HTXD'!BA75</f>
        <v>21000</v>
      </c>
      <c r="H112" s="2337">
        <f t="shared" si="15"/>
        <v>0</v>
      </c>
      <c r="I112" s="2337">
        <f t="shared" si="16"/>
        <v>0</v>
      </c>
      <c r="J112" s="2337">
        <f t="shared" si="17"/>
        <v>29685.599999999999</v>
      </c>
      <c r="K112" s="2338">
        <f>J112/J106</f>
        <v>3.2966915737423774E-3</v>
      </c>
      <c r="L112" s="2338"/>
      <c r="M112" s="2360" t="s">
        <v>2061</v>
      </c>
      <c r="N112" s="158">
        <f>SUMIF('Don gia XD'!F475:F533,B112,'Don gia XD'!O475:O533)</f>
        <v>1.4135999999999999E-2</v>
      </c>
      <c r="O112" s="98">
        <f t="shared" si="18"/>
        <v>0</v>
      </c>
      <c r="P112" s="98">
        <f t="shared" si="19"/>
        <v>296.85599999999999</v>
      </c>
    </row>
    <row r="113" spans="1:16">
      <c r="A113" s="2355">
        <v>7</v>
      </c>
      <c r="B113" s="2333" t="s">
        <v>1944</v>
      </c>
      <c r="C113" s="2334" t="s">
        <v>1945</v>
      </c>
      <c r="D113" s="2335" t="s">
        <v>1856</v>
      </c>
      <c r="E113" s="2336">
        <f>SUMIF('Don gia XD'!F475:F533,B113,'Don gia XD'!N475:N533)</f>
        <v>241.52534</v>
      </c>
      <c r="F113" s="2337">
        <v>21150</v>
      </c>
      <c r="G113" s="2337">
        <f>'Gia vat lieu HTXD'!BA76</f>
        <v>21150</v>
      </c>
      <c r="H113" s="2337">
        <f t="shared" si="15"/>
        <v>0</v>
      </c>
      <c r="I113" s="2337">
        <f t="shared" si="16"/>
        <v>0</v>
      </c>
      <c r="J113" s="2337">
        <f t="shared" si="17"/>
        <v>5108260.9409999996</v>
      </c>
      <c r="K113" s="2338">
        <f>J113/J106</f>
        <v>0.56729056514512111</v>
      </c>
      <c r="L113" s="2338"/>
      <c r="M113" s="2360" t="s">
        <v>2061</v>
      </c>
      <c r="N113" s="158">
        <f>SUMIF('Don gia XD'!F475:F533,B113,'Don gia XD'!O475:O533)</f>
        <v>1.2078034000000002</v>
      </c>
      <c r="O113" s="98">
        <f t="shared" si="18"/>
        <v>0</v>
      </c>
      <c r="P113" s="98">
        <f t="shared" si="19"/>
        <v>25545.041910000004</v>
      </c>
    </row>
    <row r="114" spans="1:16">
      <c r="A114" s="2355"/>
      <c r="B114" s="2333"/>
      <c r="C114" s="2334" t="s">
        <v>226</v>
      </c>
      <c r="D114" s="2335" t="s">
        <v>1850</v>
      </c>
      <c r="E114" s="2336"/>
      <c r="F114" s="2337"/>
      <c r="G114" s="2337"/>
      <c r="H114" s="2337"/>
      <c r="I114" s="2337">
        <f>O106</f>
        <v>0</v>
      </c>
      <c r="J114" s="2337">
        <f>P106</f>
        <v>26434.093588400003</v>
      </c>
      <c r="K114" s="2338">
        <f>J114/J106</f>
        <v>2.9356002099467653E-3</v>
      </c>
      <c r="L114" s="2338"/>
      <c r="M114" s="2360"/>
    </row>
    <row r="115" spans="1:16">
      <c r="A115" s="2356" t="s">
        <v>195</v>
      </c>
      <c r="B115" s="2339"/>
      <c r="C115" s="2340" t="s">
        <v>225</v>
      </c>
      <c r="D115" s="2340"/>
      <c r="E115" s="2341"/>
      <c r="F115" s="2342"/>
      <c r="G115" s="2342"/>
      <c r="H115" s="2342"/>
      <c r="I115" s="2342">
        <f>SUM(I116:I117)</f>
        <v>-17474.476549999981</v>
      </c>
      <c r="J115" s="2342">
        <f>SUM(J116:J117)</f>
        <v>2495462.78125</v>
      </c>
      <c r="K115" s="2343">
        <f>SUM(K116:K117)</f>
        <v>1</v>
      </c>
      <c r="L115" s="2343">
        <f>J115/(J106+J115+J118)</f>
        <v>0.21387682419591736</v>
      </c>
      <c r="M115" s="2361"/>
      <c r="N115" s="2166"/>
      <c r="O115" s="2167">
        <f>SUM(O116:O117)</f>
        <v>0</v>
      </c>
      <c r="P115" s="2167">
        <f>SUM(P116:P117)</f>
        <v>0</v>
      </c>
    </row>
    <row r="116" spans="1:16">
      <c r="A116" s="2355">
        <v>8</v>
      </c>
      <c r="B116" s="2333" t="s">
        <v>1951</v>
      </c>
      <c r="C116" s="2334" t="s">
        <v>1952</v>
      </c>
      <c r="D116" s="2335" t="s">
        <v>1833</v>
      </c>
      <c r="E116" s="2336">
        <f>SUMIF('Don gia XD'!F475:F533,B116,'Don gia XD'!N475:N533)</f>
        <v>1.96726</v>
      </c>
      <c r="F116" s="2337">
        <v>249780</v>
      </c>
      <c r="G116" s="2337">
        <f>'Nhan cong XD'!H42</f>
        <v>248042.76315789475</v>
      </c>
      <c r="H116" s="2337">
        <f>G116-F116</f>
        <v>-1737.2368421052524</v>
      </c>
      <c r="I116" s="2337">
        <f>E116*H116</f>
        <v>-3417.5965499999788</v>
      </c>
      <c r="J116" s="2337">
        <f>E116*G116</f>
        <v>487964.60625000001</v>
      </c>
      <c r="K116" s="2338">
        <f>J116/J115</f>
        <v>0.19554072692102989</v>
      </c>
      <c r="L116" s="2338"/>
      <c r="M116" s="2360"/>
      <c r="N116" s="158">
        <f>SUMIF('Don gia XD'!F475:F533,B116,'Don gia XD'!O475:O533)</f>
        <v>0</v>
      </c>
      <c r="O116" s="98">
        <f>H116*N116</f>
        <v>0</v>
      </c>
      <c r="P116" s="98">
        <f>G116*N116</f>
        <v>0</v>
      </c>
    </row>
    <row r="117" spans="1:16">
      <c r="A117" s="2355">
        <v>9</v>
      </c>
      <c r="B117" s="2333" t="s">
        <v>1866</v>
      </c>
      <c r="C117" s="2334" t="s">
        <v>1867</v>
      </c>
      <c r="D117" s="2335" t="s">
        <v>1833</v>
      </c>
      <c r="E117" s="2336">
        <f>SUMIF('Don gia XD'!F475:F533,B117,'Don gia XD'!N475:N533)</f>
        <v>8.7855500000000006</v>
      </c>
      <c r="F117" s="2337">
        <v>230100</v>
      </c>
      <c r="G117" s="2337">
        <f>'Nhan cong XD'!H43</f>
        <v>228500</v>
      </c>
      <c r="H117" s="2337">
        <f>G117-F117</f>
        <v>-1600</v>
      </c>
      <c r="I117" s="2337">
        <f>E117*H117</f>
        <v>-14056.880000000001</v>
      </c>
      <c r="J117" s="2337">
        <f>E117*G117</f>
        <v>2007498.175</v>
      </c>
      <c r="K117" s="2338">
        <f>J117/J115</f>
        <v>0.80445927307897014</v>
      </c>
      <c r="L117" s="2338"/>
      <c r="M117" s="2360"/>
      <c r="N117" s="158">
        <f>SUMIF('Don gia XD'!F475:F533,B117,'Don gia XD'!O475:O533)</f>
        <v>0</v>
      </c>
      <c r="O117" s="98">
        <f>H117*N117</f>
        <v>0</v>
      </c>
      <c r="P117" s="98">
        <f>G117*N117</f>
        <v>0</v>
      </c>
    </row>
    <row r="118" spans="1:16">
      <c r="A118" s="2356" t="s">
        <v>101</v>
      </c>
      <c r="B118" s="2339"/>
      <c r="C118" s="2340" t="s">
        <v>228</v>
      </c>
      <c r="D118" s="2340"/>
      <c r="E118" s="2341"/>
      <c r="F118" s="2342"/>
      <c r="G118" s="2342"/>
      <c r="H118" s="2342"/>
      <c r="I118" s="2342">
        <f>SUM(I119:I120)</f>
        <v>-183028.4082496</v>
      </c>
      <c r="J118" s="2342">
        <f>SUM(J119:J120)</f>
        <v>167630.05166960001</v>
      </c>
      <c r="K118" s="2343">
        <f>SUM(K119:K120)</f>
        <v>1</v>
      </c>
      <c r="L118" s="2343">
        <f>J118/(J106+J115+J118)</f>
        <v>1.4366947630023519E-2</v>
      </c>
      <c r="M118" s="2361"/>
      <c r="N118" s="2166"/>
      <c r="O118" s="2167">
        <f>SUM(O119:O120)</f>
        <v>0</v>
      </c>
      <c r="P118" s="2167">
        <f>SUM(P119:P120)</f>
        <v>0</v>
      </c>
    </row>
    <row r="119" spans="1:16">
      <c r="A119" s="2355">
        <v>10</v>
      </c>
      <c r="B119" s="2333" t="s">
        <v>1956</v>
      </c>
      <c r="C119" s="2334" t="s">
        <v>1957</v>
      </c>
      <c r="D119" s="2335" t="s">
        <v>1836</v>
      </c>
      <c r="E119" s="2336">
        <f>SUMIF('Don gia XD'!F475:F533,B119,'Don gia XD'!N475:N533)</f>
        <v>7.9632800000000004E-2</v>
      </c>
      <c r="F119" s="2337">
        <v>2147839</v>
      </c>
      <c r="G119" s="2423">
        <f>'Gia ca may XD'!V55</f>
        <v>1393807</v>
      </c>
      <c r="H119" s="2337">
        <f>G119-F119</f>
        <v>-754032</v>
      </c>
      <c r="I119" s="2337">
        <f>E119*H119</f>
        <v>-60045.6794496</v>
      </c>
      <c r="J119" s="2337">
        <f>E119*G119</f>
        <v>110992.75406960001</v>
      </c>
      <c r="K119" s="2338">
        <f>J119/J118</f>
        <v>0.66212921229880362</v>
      </c>
      <c r="L119" s="2338"/>
      <c r="M119" s="2360"/>
      <c r="N119" s="158">
        <f>SUMIF('Don gia XD'!F475:F533,B119,'Don gia XD'!O475:O533)</f>
        <v>0</v>
      </c>
      <c r="O119" s="98">
        <f>H119*N119</f>
        <v>0</v>
      </c>
      <c r="P119" s="98">
        <f>G119*N119</f>
        <v>0</v>
      </c>
    </row>
    <row r="120" spans="1:16">
      <c r="A120" s="2355">
        <v>11</v>
      </c>
      <c r="B120" s="2333" t="s">
        <v>1896</v>
      </c>
      <c r="C120" s="2334" t="s">
        <v>1897</v>
      </c>
      <c r="D120" s="2335" t="s">
        <v>1836</v>
      </c>
      <c r="E120" s="2336">
        <f>SUMIF('Don gia XD'!F475:F533,B120,'Don gia XD'!N475:N533)</f>
        <v>0.47120000000000001</v>
      </c>
      <c r="F120" s="2337">
        <v>381197</v>
      </c>
      <c r="G120" s="2423">
        <f>'Gia ca may XD'!V56</f>
        <v>120198</v>
      </c>
      <c r="H120" s="2337">
        <f>G120-F120</f>
        <v>-260999</v>
      </c>
      <c r="I120" s="2337">
        <f>E120*H120</f>
        <v>-122982.7288</v>
      </c>
      <c r="J120" s="2337">
        <f>E120*G120</f>
        <v>56637.297599999998</v>
      </c>
      <c r="K120" s="2338">
        <f>J120/J118</f>
        <v>0.33787078770119633</v>
      </c>
      <c r="L120" s="2338"/>
      <c r="M120" s="2360"/>
      <c r="N120" s="158">
        <f>SUMIF('Don gia XD'!F475:F533,B120,'Don gia XD'!O475:O533)</f>
        <v>0</v>
      </c>
      <c r="O120" s="98">
        <f>H120*N120</f>
        <v>0</v>
      </c>
      <c r="P120" s="98">
        <f>G120*N120</f>
        <v>0</v>
      </c>
    </row>
    <row r="121" spans="1:16">
      <c r="A121" s="2357" t="s">
        <v>110</v>
      </c>
      <c r="B121" s="2344"/>
      <c r="C121" s="2345" t="s">
        <v>232</v>
      </c>
      <c r="D121" s="2345"/>
      <c r="E121" s="2346"/>
      <c r="F121" s="2347"/>
      <c r="G121" s="2347"/>
      <c r="H121" s="2347"/>
      <c r="I121" s="2347"/>
      <c r="J121" s="2347">
        <f>J106+J115+J118</f>
        <v>11667756.853188001</v>
      </c>
      <c r="K121" s="2338"/>
      <c r="L121" s="2338"/>
      <c r="M121" s="2360"/>
    </row>
    <row r="122" spans="1:16">
      <c r="A122" s="2358"/>
      <c r="B122" s="2348"/>
      <c r="C122" s="2349"/>
      <c r="D122" s="2350"/>
      <c r="E122" s="2351"/>
      <c r="F122" s="2352"/>
      <c r="G122" s="2352"/>
      <c r="H122" s="2352"/>
      <c r="I122" s="2352"/>
      <c r="J122" s="2352"/>
      <c r="K122" s="2353"/>
      <c r="L122" s="2353"/>
      <c r="M122" s="2362"/>
    </row>
    <row r="123" spans="1:16" ht="22.5">
      <c r="A123" s="449" t="s">
        <v>2060</v>
      </c>
      <c r="B123" s="255"/>
      <c r="C123" s="101"/>
      <c r="D123" s="101"/>
      <c r="E123" s="253"/>
      <c r="F123" s="171"/>
      <c r="G123" s="171"/>
      <c r="H123" s="171"/>
      <c r="I123" s="171"/>
      <c r="J123" s="171"/>
      <c r="K123" s="858"/>
      <c r="L123" s="858"/>
      <c r="M123" s="25"/>
    </row>
    <row r="124" spans="1:16" ht="18.75">
      <c r="A124" s="1019" t="str">
        <f>Ts!H4&amp;Ts!K4</f>
        <v>CÔNG TRÌNH: NHÀ 01 TẦNG, TƯỜNG CHỊU LỰC 110MM, MÁI LỢP FIBRÔXIMĂNG, KHÔNG CÓ KHU VỆ SINH KHÉP KÍN</v>
      </c>
      <c r="B124" s="183"/>
      <c r="C124" s="94"/>
      <c r="D124" s="94"/>
      <c r="E124" s="254"/>
      <c r="F124" s="48"/>
      <c r="G124" s="48"/>
      <c r="H124" s="48"/>
      <c r="I124" s="48"/>
      <c r="J124" s="48"/>
      <c r="K124" s="859"/>
      <c r="L124" s="859"/>
      <c r="M124" s="322"/>
    </row>
    <row r="125" spans="1:16" ht="18.75">
      <c r="A125" s="1019" t="str">
        <f>"HẠNG MỤC: "&amp;'Don gia XD'!G533</f>
        <v>HẠNG MỤC: PHẦN HOÀN THIỆN</v>
      </c>
      <c r="B125" s="183"/>
      <c r="C125" s="94"/>
      <c r="D125" s="94"/>
      <c r="E125" s="254"/>
      <c r="F125" s="48"/>
      <c r="G125" s="48"/>
      <c r="H125" s="48"/>
      <c r="I125" s="48"/>
      <c r="J125" s="48"/>
      <c r="K125" s="859"/>
      <c r="L125" s="859"/>
      <c r="M125" s="322"/>
    </row>
    <row r="126" spans="1:16">
      <c r="A126" s="17"/>
      <c r="F126" s="162"/>
      <c r="I126" s="162" t="s">
        <v>310</v>
      </c>
      <c r="J126" s="162" t="s">
        <v>310</v>
      </c>
      <c r="K126" s="860"/>
      <c r="L126" s="860"/>
      <c r="M126" s="780"/>
    </row>
    <row r="127" spans="1:16" ht="78.75">
      <c r="A127" s="1022" t="s">
        <v>196</v>
      </c>
      <c r="B127" s="1022" t="s">
        <v>135</v>
      </c>
      <c r="C127" s="1022" t="s">
        <v>138</v>
      </c>
      <c r="D127" s="1022" t="s">
        <v>122</v>
      </c>
      <c r="E127" s="1023" t="s">
        <v>136</v>
      </c>
      <c r="F127" s="1024" t="s">
        <v>246</v>
      </c>
      <c r="G127" s="1024" t="s">
        <v>272</v>
      </c>
      <c r="H127" s="1024" t="s">
        <v>139</v>
      </c>
      <c r="I127" s="1024" t="s">
        <v>124</v>
      </c>
      <c r="J127" s="1024" t="s">
        <v>124</v>
      </c>
      <c r="K127" s="1025" t="s">
        <v>616</v>
      </c>
      <c r="L127" s="1025" t="s">
        <v>617</v>
      </c>
      <c r="M127" s="1022" t="s">
        <v>322</v>
      </c>
    </row>
    <row r="128" spans="1:16">
      <c r="A128" s="2354" t="s">
        <v>97</v>
      </c>
      <c r="B128" s="2328"/>
      <c r="C128" s="2329" t="s">
        <v>224</v>
      </c>
      <c r="D128" s="2329"/>
      <c r="E128" s="2330"/>
      <c r="F128" s="2331"/>
      <c r="G128" s="2331"/>
      <c r="H128" s="2331"/>
      <c r="I128" s="2331">
        <f>SUM(I129:I141)</f>
        <v>0</v>
      </c>
      <c r="J128" s="2331">
        <f>SUM(J129:J141)</f>
        <v>28797269.222296357</v>
      </c>
      <c r="K128" s="2332">
        <f>SUM(K129:K141)</f>
        <v>1.0000000000000002</v>
      </c>
      <c r="L128" s="2332">
        <f>J128/(J128+J142+J145)</f>
        <v>0.44329243028034243</v>
      </c>
      <c r="M128" s="2359"/>
      <c r="N128" s="2166"/>
      <c r="O128" s="2167">
        <f>SUM(O129:O141)</f>
        <v>0</v>
      </c>
      <c r="P128" s="2167">
        <f>SUM(P129:P141)</f>
        <v>210327.21652416501</v>
      </c>
    </row>
    <row r="129" spans="1:16">
      <c r="A129" s="2355">
        <v>1</v>
      </c>
      <c r="B129" s="2333" t="s">
        <v>1967</v>
      </c>
      <c r="C129" s="2334" t="s">
        <v>1968</v>
      </c>
      <c r="D129" s="2335" t="s">
        <v>1848</v>
      </c>
      <c r="E129" s="2336">
        <f>SUMIF('Don gia XD'!F534:F722,B129,'Don gia XD'!N534:N722)</f>
        <v>8.8885313438000004</v>
      </c>
      <c r="F129" s="2337">
        <v>85000</v>
      </c>
      <c r="G129" s="2337">
        <f>'Gia vat lieu HTXD'!BA84</f>
        <v>85000</v>
      </c>
      <c r="H129" s="2337">
        <f t="shared" ref="H129:H140" si="20">G129-F129</f>
        <v>0</v>
      </c>
      <c r="I129" s="2337">
        <f t="shared" ref="I129:I140" si="21">E129*H129</f>
        <v>0</v>
      </c>
      <c r="J129" s="2337">
        <f t="shared" ref="J129:J140" si="22">E129*G129</f>
        <v>755525.16422300006</v>
      </c>
      <c r="K129" s="2338">
        <f>J129/J128</f>
        <v>2.6236000309294356E-2</v>
      </c>
      <c r="L129" s="2338"/>
      <c r="M129" s="2360" t="s">
        <v>2061</v>
      </c>
      <c r="N129" s="158">
        <f>SUMIF('Don gia XD'!F534:F722,B129,'Don gia XD'!O534:O722)</f>
        <v>4.4442656719000009E-2</v>
      </c>
      <c r="O129" s="98">
        <f t="shared" ref="O129:O140" si="23">H129*N129</f>
        <v>0</v>
      </c>
      <c r="P129" s="98">
        <f t="shared" ref="P129:P140" si="24">G129*N129</f>
        <v>3777.6258211150007</v>
      </c>
    </row>
    <row r="130" spans="1:16">
      <c r="A130" s="2355">
        <v>2</v>
      </c>
      <c r="B130" s="2333" t="s">
        <v>1935</v>
      </c>
      <c r="C130" s="2334" t="s">
        <v>1936</v>
      </c>
      <c r="D130" s="2335" t="s">
        <v>1848</v>
      </c>
      <c r="E130" s="2336">
        <f>SUMIF('Don gia XD'!F534:F722,B130,'Don gia XD'!N534:N722)</f>
        <v>3.1566466100000001</v>
      </c>
      <c r="F130" s="2337">
        <v>85000</v>
      </c>
      <c r="G130" s="2337">
        <f>'Gia vat lieu HTXD'!BA85</f>
        <v>85000</v>
      </c>
      <c r="H130" s="2337">
        <f t="shared" si="20"/>
        <v>0</v>
      </c>
      <c r="I130" s="2337">
        <f t="shared" si="21"/>
        <v>0</v>
      </c>
      <c r="J130" s="2337">
        <f t="shared" si="22"/>
        <v>268314.96185000002</v>
      </c>
      <c r="K130" s="2338">
        <f>J130/J128</f>
        <v>9.3173751920288504E-3</v>
      </c>
      <c r="L130" s="2338"/>
      <c r="M130" s="2360" t="s">
        <v>2061</v>
      </c>
      <c r="N130" s="158">
        <f>SUMIF('Don gia XD'!F534:F722,B130,'Don gia XD'!O534:O722)</f>
        <v>2.057628655E-2</v>
      </c>
      <c r="O130" s="98">
        <f t="shared" si="23"/>
        <v>0</v>
      </c>
      <c r="P130" s="98">
        <f t="shared" si="24"/>
        <v>1748.98435675</v>
      </c>
    </row>
    <row r="131" spans="1:16">
      <c r="A131" s="2355">
        <v>3</v>
      </c>
      <c r="B131" s="2333" t="s">
        <v>2051</v>
      </c>
      <c r="C131" s="2334" t="s">
        <v>2052</v>
      </c>
      <c r="D131" s="2335" t="s">
        <v>1961</v>
      </c>
      <c r="E131" s="2336">
        <f>SUMIF('Don gia XD'!F534:F722,B131,'Don gia XD'!N534:N722)</f>
        <v>17.520300000000002</v>
      </c>
      <c r="F131" s="2337">
        <v>105000</v>
      </c>
      <c r="G131" s="2337">
        <f>'Gia vat lieu HTXD'!BA86</f>
        <v>105000</v>
      </c>
      <c r="H131" s="2337">
        <f t="shared" si="20"/>
        <v>0</v>
      </c>
      <c r="I131" s="2337">
        <f t="shared" si="21"/>
        <v>0</v>
      </c>
      <c r="J131" s="2337">
        <f t="shared" si="22"/>
        <v>1839631.5000000002</v>
      </c>
      <c r="K131" s="2338">
        <f>J131/J128</f>
        <v>6.3882150970608731E-2</v>
      </c>
      <c r="L131" s="2338"/>
      <c r="M131" s="2360" t="s">
        <v>2061</v>
      </c>
      <c r="N131" s="158">
        <f>SUMIF('Don gia XD'!F534:F722,B131,'Don gia XD'!O534:O722)</f>
        <v>0.26280450000000005</v>
      </c>
      <c r="O131" s="98">
        <f t="shared" si="23"/>
        <v>0</v>
      </c>
      <c r="P131" s="98">
        <f t="shared" si="24"/>
        <v>27594.472500000007</v>
      </c>
    </row>
    <row r="132" spans="1:16">
      <c r="A132" s="2355">
        <v>4</v>
      </c>
      <c r="B132" s="2333" t="s">
        <v>2040</v>
      </c>
      <c r="C132" s="2334" t="s">
        <v>2041</v>
      </c>
      <c r="D132" s="2335" t="s">
        <v>1961</v>
      </c>
      <c r="E132" s="2336">
        <f>SUMIF('Don gia XD'!F534:F722,B132,'Don gia XD'!N534:N722)</f>
        <v>90.062103999999991</v>
      </c>
      <c r="F132" s="2337">
        <v>145000</v>
      </c>
      <c r="G132" s="2337">
        <f>'Gia vat lieu HTXD'!BA87</f>
        <v>145000</v>
      </c>
      <c r="H132" s="2337">
        <f t="shared" si="20"/>
        <v>0</v>
      </c>
      <c r="I132" s="2337">
        <f t="shared" si="21"/>
        <v>0</v>
      </c>
      <c r="J132" s="2337">
        <f t="shared" si="22"/>
        <v>13059005.079999998</v>
      </c>
      <c r="K132" s="2338">
        <f>J132/J128</f>
        <v>0.45348067482346666</v>
      </c>
      <c r="L132" s="2338"/>
      <c r="M132" s="2360" t="s">
        <v>2061</v>
      </c>
      <c r="N132" s="158">
        <f>SUMIF('Don gia XD'!F534:F722,B132,'Don gia XD'!O534:O722)</f>
        <v>0.45031051999999994</v>
      </c>
      <c r="O132" s="98">
        <f t="shared" si="23"/>
        <v>0</v>
      </c>
      <c r="P132" s="98">
        <f t="shared" si="24"/>
        <v>65295.025399999991</v>
      </c>
    </row>
    <row r="133" spans="1:16">
      <c r="A133" s="2355">
        <v>5</v>
      </c>
      <c r="B133" s="2333" t="s">
        <v>1859</v>
      </c>
      <c r="C133" s="2334" t="s">
        <v>1860</v>
      </c>
      <c r="D133" s="2335" t="s">
        <v>1861</v>
      </c>
      <c r="E133" s="2336">
        <f>SUMIF('Don gia XD'!F534:F722,B133,'Don gia XD'!N534:N722)</f>
        <v>2810.5139277999997</v>
      </c>
      <c r="F133" s="2337">
        <v>8</v>
      </c>
      <c r="G133" s="2337">
        <f>'Gia vat lieu HTXD'!BA88</f>
        <v>8</v>
      </c>
      <c r="H133" s="2337">
        <f t="shared" si="20"/>
        <v>0</v>
      </c>
      <c r="I133" s="2337">
        <f t="shared" si="21"/>
        <v>0</v>
      </c>
      <c r="J133" s="2337">
        <f t="shared" si="22"/>
        <v>22484.111422399998</v>
      </c>
      <c r="K133" s="2338">
        <f>J133/J128</f>
        <v>7.8077234507331757E-4</v>
      </c>
      <c r="L133" s="2338"/>
      <c r="M133" s="2360" t="s">
        <v>2061</v>
      </c>
      <c r="N133" s="158">
        <f>SUMIF('Don gia XD'!F534:F722,B133,'Don gia XD'!O534:O722)</f>
        <v>15.187217639000002</v>
      </c>
      <c r="O133" s="98">
        <f t="shared" si="23"/>
        <v>0</v>
      </c>
      <c r="P133" s="98">
        <f t="shared" si="24"/>
        <v>121.49774111200001</v>
      </c>
    </row>
    <row r="134" spans="1:16">
      <c r="A134" s="2355">
        <v>6</v>
      </c>
      <c r="B134" s="2333" t="s">
        <v>1982</v>
      </c>
      <c r="C134" s="2334" t="s">
        <v>1983</v>
      </c>
      <c r="D134" s="2335" t="s">
        <v>1861</v>
      </c>
      <c r="E134" s="2336">
        <f>SUMIF('Don gia XD'!F534:F722,B134,'Don gia XD'!N534:N722)</f>
        <v>26.513309999999997</v>
      </c>
      <c r="F134" s="2337">
        <v>29500</v>
      </c>
      <c r="G134" s="2337">
        <f>'Gia vat lieu HTXD'!BA89</f>
        <v>29500</v>
      </c>
      <c r="H134" s="2337">
        <f t="shared" si="20"/>
        <v>0</v>
      </c>
      <c r="I134" s="2337">
        <f t="shared" si="21"/>
        <v>0</v>
      </c>
      <c r="J134" s="2337">
        <f t="shared" si="22"/>
        <v>782142.6449999999</v>
      </c>
      <c r="K134" s="2338">
        <f>J134/J128</f>
        <v>2.7160306033268737E-2</v>
      </c>
      <c r="L134" s="2338"/>
      <c r="M134" s="2360" t="s">
        <v>2061</v>
      </c>
      <c r="N134" s="158">
        <f>SUMIF('Don gia XD'!F534:F722,B134,'Don gia XD'!O534:O722)</f>
        <v>0.26513309999999995</v>
      </c>
      <c r="O134" s="98">
        <f t="shared" si="23"/>
        <v>0</v>
      </c>
      <c r="P134" s="98">
        <f t="shared" si="24"/>
        <v>7821.426449999999</v>
      </c>
    </row>
    <row r="135" spans="1:16">
      <c r="A135" s="2355">
        <v>7</v>
      </c>
      <c r="B135" s="2333" t="s">
        <v>1977</v>
      </c>
      <c r="C135" s="2334" t="s">
        <v>1978</v>
      </c>
      <c r="D135" s="2335" t="s">
        <v>1861</v>
      </c>
      <c r="E135" s="2336">
        <f>SUMIF('Don gia XD'!F534:F722,B135,'Don gia XD'!N534:N722)</f>
        <v>39.827064</v>
      </c>
      <c r="F135" s="2337">
        <v>70833</v>
      </c>
      <c r="G135" s="2337">
        <f>'Gia vat lieu HTXD'!BA90</f>
        <v>70833</v>
      </c>
      <c r="H135" s="2337">
        <f t="shared" si="20"/>
        <v>0</v>
      </c>
      <c r="I135" s="2337">
        <f t="shared" si="21"/>
        <v>0</v>
      </c>
      <c r="J135" s="2337">
        <f t="shared" si="22"/>
        <v>2821070.4243120002</v>
      </c>
      <c r="K135" s="2338">
        <f>J135/J128</f>
        <v>9.7963122910549427E-2</v>
      </c>
      <c r="L135" s="2338"/>
      <c r="M135" s="2360" t="s">
        <v>2061</v>
      </c>
      <c r="N135" s="158">
        <f>SUMIF('Don gia XD'!F534:F722,B135,'Don gia XD'!O534:O722)</f>
        <v>0.39827064000000001</v>
      </c>
      <c r="O135" s="98">
        <f t="shared" si="23"/>
        <v>0</v>
      </c>
      <c r="P135" s="98">
        <f t="shared" si="24"/>
        <v>28210.704243119999</v>
      </c>
    </row>
    <row r="136" spans="1:16">
      <c r="A136" s="2355">
        <v>8</v>
      </c>
      <c r="B136" s="2333" t="s">
        <v>1984</v>
      </c>
      <c r="C136" s="2334" t="s">
        <v>1985</v>
      </c>
      <c r="D136" s="2335" t="s">
        <v>1861</v>
      </c>
      <c r="E136" s="2336">
        <f>SUMIF('Don gia XD'!F534:F722,B136,'Don gia XD'!N534:N722)</f>
        <v>41.891029799999991</v>
      </c>
      <c r="F136" s="2337">
        <v>29500</v>
      </c>
      <c r="G136" s="2337">
        <f>'Gia vat lieu HTXD'!BA91</f>
        <v>29500</v>
      </c>
      <c r="H136" s="2337">
        <f t="shared" si="20"/>
        <v>0</v>
      </c>
      <c r="I136" s="2337">
        <f t="shared" si="21"/>
        <v>0</v>
      </c>
      <c r="J136" s="2337">
        <f t="shared" si="22"/>
        <v>1235785.3790999998</v>
      </c>
      <c r="K136" s="2338">
        <f>J136/J128</f>
        <v>4.2913283532564607E-2</v>
      </c>
      <c r="L136" s="2338"/>
      <c r="M136" s="2360" t="s">
        <v>2061</v>
      </c>
      <c r="N136" s="158">
        <f>SUMIF('Don gia XD'!F534:F722,B136,'Don gia XD'!O534:O722)</f>
        <v>0.4189102979999999</v>
      </c>
      <c r="O136" s="98">
        <f t="shared" si="23"/>
        <v>0</v>
      </c>
      <c r="P136" s="98">
        <f t="shared" si="24"/>
        <v>12357.853790999998</v>
      </c>
    </row>
    <row r="137" spans="1:16">
      <c r="A137" s="2355">
        <v>9</v>
      </c>
      <c r="B137" s="2333" t="s">
        <v>1979</v>
      </c>
      <c r="C137" s="2334" t="s">
        <v>1980</v>
      </c>
      <c r="D137" s="2335" t="s">
        <v>1861</v>
      </c>
      <c r="E137" s="2336">
        <f>SUMIF('Don gia XD'!F534:F722,B137,'Don gia XD'!N534:N722)</f>
        <v>63.466353599999998</v>
      </c>
      <c r="F137" s="2337">
        <v>70833</v>
      </c>
      <c r="G137" s="2337">
        <f>'Gia vat lieu HTXD'!BA92</f>
        <v>70833</v>
      </c>
      <c r="H137" s="2337">
        <f t="shared" si="20"/>
        <v>0</v>
      </c>
      <c r="I137" s="2337">
        <f t="shared" si="21"/>
        <v>0</v>
      </c>
      <c r="J137" s="2337">
        <f t="shared" si="22"/>
        <v>4495512.2245487999</v>
      </c>
      <c r="K137" s="2338">
        <f>J137/J128</f>
        <v>0.15610897650906908</v>
      </c>
      <c r="L137" s="2338"/>
      <c r="M137" s="2360" t="s">
        <v>2061</v>
      </c>
      <c r="N137" s="158">
        <f>SUMIF('Don gia XD'!F534:F722,B137,'Don gia XD'!O534:O722)</f>
        <v>0.63466353600000003</v>
      </c>
      <c r="O137" s="98">
        <f t="shared" si="23"/>
        <v>0</v>
      </c>
      <c r="P137" s="98">
        <f t="shared" si="24"/>
        <v>44955.122245488004</v>
      </c>
    </row>
    <row r="138" spans="1:16">
      <c r="A138" s="2355">
        <v>10</v>
      </c>
      <c r="B138" s="2333" t="s">
        <v>1854</v>
      </c>
      <c r="C138" s="2334" t="s">
        <v>1855</v>
      </c>
      <c r="D138" s="2335" t="s">
        <v>1856</v>
      </c>
      <c r="E138" s="2336">
        <f>SUMIF('Don gia XD'!F534:F722,B138,'Don gia XD'!N534:N722)</f>
        <v>760.73097999999993</v>
      </c>
      <c r="F138" s="2337">
        <v>1280</v>
      </c>
      <c r="G138" s="2337">
        <f>'Gia vat lieu HTXD'!BA93</f>
        <v>1280</v>
      </c>
      <c r="H138" s="2337">
        <f t="shared" si="20"/>
        <v>0</v>
      </c>
      <c r="I138" s="2337">
        <f t="shared" si="21"/>
        <v>0</v>
      </c>
      <c r="J138" s="2337">
        <f t="shared" si="22"/>
        <v>973735.65439999988</v>
      </c>
      <c r="K138" s="2338">
        <f>J138/J128</f>
        <v>3.3813471926222874E-2</v>
      </c>
      <c r="L138" s="2338"/>
      <c r="M138" s="2360" t="s">
        <v>2061</v>
      </c>
      <c r="N138" s="158">
        <f>SUMIF('Don gia XD'!F534:F722,B138,'Don gia XD'!O534:O722)</f>
        <v>5.2136218999999997</v>
      </c>
      <c r="O138" s="98">
        <f t="shared" si="23"/>
        <v>0</v>
      </c>
      <c r="P138" s="98">
        <f t="shared" si="24"/>
        <v>6673.4360319999996</v>
      </c>
    </row>
    <row r="139" spans="1:16">
      <c r="A139" s="2355">
        <v>11</v>
      </c>
      <c r="B139" s="2333" t="s">
        <v>1901</v>
      </c>
      <c r="C139" s="2334" t="s">
        <v>1902</v>
      </c>
      <c r="D139" s="2335" t="s">
        <v>1856</v>
      </c>
      <c r="E139" s="2336">
        <f>SUMIF('Don gia XD'!F534:F722,B139,'Don gia XD'!N534:N722)</f>
        <v>1641.3971884000002</v>
      </c>
      <c r="F139" s="2337">
        <v>1380</v>
      </c>
      <c r="G139" s="2337">
        <f>'Gia vat lieu HTXD'!BA94</f>
        <v>1380</v>
      </c>
      <c r="H139" s="2337">
        <f t="shared" si="20"/>
        <v>0</v>
      </c>
      <c r="I139" s="2337">
        <f t="shared" si="21"/>
        <v>0</v>
      </c>
      <c r="J139" s="2337">
        <f t="shared" si="22"/>
        <v>2265128.1199920005</v>
      </c>
      <c r="K139" s="2338">
        <f>J139/J128</f>
        <v>7.8657740166495349E-2</v>
      </c>
      <c r="L139" s="2338"/>
      <c r="M139" s="2360" t="s">
        <v>2061</v>
      </c>
      <c r="N139" s="158">
        <f>SUMIF('Don gia XD'!F534:F722,B139,'Don gia XD'!O534:O722)</f>
        <v>8.2069859420000011</v>
      </c>
      <c r="O139" s="98">
        <f t="shared" si="23"/>
        <v>0</v>
      </c>
      <c r="P139" s="98">
        <f t="shared" si="24"/>
        <v>11325.640599960001</v>
      </c>
    </row>
    <row r="140" spans="1:16">
      <c r="A140" s="2355">
        <v>12</v>
      </c>
      <c r="B140" s="2333" t="s">
        <v>2042</v>
      </c>
      <c r="C140" s="2334" t="s">
        <v>2043</v>
      </c>
      <c r="D140" s="2335" t="s">
        <v>1856</v>
      </c>
      <c r="E140" s="2336">
        <f>SUMIF('Don gia XD'!F534:F722,B140,'Don gia XD'!N534:N722)</f>
        <v>16.770163999999998</v>
      </c>
      <c r="F140" s="2337">
        <v>4091</v>
      </c>
      <c r="G140" s="2337">
        <f>'Gia vat lieu HTXD'!BA95</f>
        <v>4091</v>
      </c>
      <c r="H140" s="2337">
        <f t="shared" si="20"/>
        <v>0</v>
      </c>
      <c r="I140" s="2337">
        <f t="shared" si="21"/>
        <v>0</v>
      </c>
      <c r="J140" s="2337">
        <f t="shared" si="22"/>
        <v>68606.740923999983</v>
      </c>
      <c r="K140" s="2338">
        <f>J140/J128</f>
        <v>2.3824044007228658E-3</v>
      </c>
      <c r="L140" s="2338"/>
      <c r="M140" s="2360" t="s">
        <v>2061</v>
      </c>
      <c r="N140" s="158">
        <f>SUMIF('Don gia XD'!F534:F722,B140,'Don gia XD'!O534:O722)</f>
        <v>0.10887981999999999</v>
      </c>
      <c r="O140" s="98">
        <f t="shared" si="23"/>
        <v>0</v>
      </c>
      <c r="P140" s="98">
        <f t="shared" si="24"/>
        <v>445.42734361999993</v>
      </c>
    </row>
    <row r="141" spans="1:16">
      <c r="A141" s="2355"/>
      <c r="B141" s="2333"/>
      <c r="C141" s="2334" t="s">
        <v>226</v>
      </c>
      <c r="D141" s="2335" t="s">
        <v>1850</v>
      </c>
      <c r="E141" s="2336"/>
      <c r="F141" s="2337"/>
      <c r="G141" s="2337"/>
      <c r="H141" s="2337"/>
      <c r="I141" s="2337">
        <f>O128</f>
        <v>0</v>
      </c>
      <c r="J141" s="2337">
        <f>P128</f>
        <v>210327.21652416501</v>
      </c>
      <c r="K141" s="2338">
        <f>J141/J128</f>
        <v>7.3037208806353985E-3</v>
      </c>
      <c r="L141" s="2338"/>
      <c r="M141" s="2360"/>
    </row>
    <row r="142" spans="1:16">
      <c r="A142" s="2356" t="s">
        <v>195</v>
      </c>
      <c r="B142" s="2339"/>
      <c r="C142" s="2340" t="s">
        <v>225</v>
      </c>
      <c r="D142" s="2340"/>
      <c r="E142" s="2341"/>
      <c r="F142" s="2342"/>
      <c r="G142" s="2342"/>
      <c r="H142" s="2342"/>
      <c r="I142" s="2342">
        <f>SUM(I143:I144)</f>
        <v>-251930.36248473648</v>
      </c>
      <c r="J142" s="2342">
        <f>SUM(J143:J144)</f>
        <v>35976719.865855262</v>
      </c>
      <c r="K142" s="2343">
        <f>SUM(K143:K144)</f>
        <v>1</v>
      </c>
      <c r="L142" s="2343">
        <f>J142/(J128+J142+J145)</f>
        <v>0.55380971923900735</v>
      </c>
      <c r="M142" s="2361"/>
      <c r="N142" s="2166"/>
      <c r="O142" s="2167">
        <f>SUM(O143:O144)</f>
        <v>0</v>
      </c>
      <c r="P142" s="2167">
        <f>SUM(P143:P144)</f>
        <v>0</v>
      </c>
    </row>
    <row r="143" spans="1:16">
      <c r="A143" s="2355">
        <v>13</v>
      </c>
      <c r="B143" s="2333" t="s">
        <v>1866</v>
      </c>
      <c r="C143" s="2334" t="s">
        <v>1867</v>
      </c>
      <c r="D143" s="2335" t="s">
        <v>1833</v>
      </c>
      <c r="E143" s="2336">
        <f>SUMIF('Don gia XD'!F534:F722,B143,'Don gia XD'!N534:N722)</f>
        <v>117.29804500000002</v>
      </c>
      <c r="F143" s="2337">
        <v>230100</v>
      </c>
      <c r="G143" s="2337">
        <f>'Nhan cong XD'!H51</f>
        <v>228500</v>
      </c>
      <c r="H143" s="2337">
        <f>G143-F143</f>
        <v>-1600</v>
      </c>
      <c r="I143" s="2337">
        <f>E143*H143</f>
        <v>-187676.87200000003</v>
      </c>
      <c r="J143" s="2337">
        <f>E143*G143</f>
        <v>26802603.282500003</v>
      </c>
      <c r="K143" s="2338">
        <f>J143/J142</f>
        <v>0.74499852633696551</v>
      </c>
      <c r="L143" s="2338"/>
      <c r="M143" s="2360"/>
      <c r="N143" s="158">
        <f>SUMIF('Don gia XD'!F534:F722,B143,'Don gia XD'!O534:O722)</f>
        <v>0</v>
      </c>
      <c r="O143" s="98">
        <f>H143*N143</f>
        <v>0</v>
      </c>
      <c r="P143" s="98">
        <f>G143*N143</f>
        <v>0</v>
      </c>
    </row>
    <row r="144" spans="1:16">
      <c r="A144" s="2355">
        <v>14</v>
      </c>
      <c r="B144" s="2333" t="s">
        <v>1951</v>
      </c>
      <c r="C144" s="2334" t="s">
        <v>1952</v>
      </c>
      <c r="D144" s="2335" t="s">
        <v>1833</v>
      </c>
      <c r="E144" s="2336">
        <f>SUMIF('Don gia XD'!F534:F722,B144,'Don gia XD'!N534:N722)</f>
        <v>36.986027999999997</v>
      </c>
      <c r="F144" s="2337">
        <v>249780</v>
      </c>
      <c r="G144" s="2337">
        <f>'Nhan cong XD'!H52</f>
        <v>248042.76315789475</v>
      </c>
      <c r="H144" s="2337">
        <f>G144-F144</f>
        <v>-1737.2368421052524</v>
      </c>
      <c r="I144" s="2337">
        <f>E144*H144</f>
        <v>-64253.490484736438</v>
      </c>
      <c r="J144" s="2337">
        <f>E144*G144</f>
        <v>9174116.5833552629</v>
      </c>
      <c r="K144" s="2338">
        <f>J144/J142</f>
        <v>0.25500147366303455</v>
      </c>
      <c r="L144" s="2338"/>
      <c r="M144" s="2360"/>
      <c r="N144" s="158">
        <f>SUMIF('Don gia XD'!F534:F722,B144,'Don gia XD'!O534:O722)</f>
        <v>0</v>
      </c>
      <c r="O144" s="98">
        <f>H144*N144</f>
        <v>0</v>
      </c>
      <c r="P144" s="98">
        <f>G144*N144</f>
        <v>0</v>
      </c>
    </row>
    <row r="145" spans="1:16">
      <c r="A145" s="2356" t="s">
        <v>101</v>
      </c>
      <c r="B145" s="2339"/>
      <c r="C145" s="2340" t="s">
        <v>228</v>
      </c>
      <c r="D145" s="2340"/>
      <c r="E145" s="2341"/>
      <c r="F145" s="2342"/>
      <c r="G145" s="2342"/>
      <c r="H145" s="2342"/>
      <c r="I145" s="2342">
        <f>SUM(I146:I147)</f>
        <v>-199704.39984880001</v>
      </c>
      <c r="J145" s="2342">
        <f>SUM(J146:J147)</f>
        <v>188250.85825279995</v>
      </c>
      <c r="K145" s="2343">
        <f>SUM(K146:K147)</f>
        <v>1</v>
      </c>
      <c r="L145" s="2343">
        <f>J145/(J128+J142+J145)</f>
        <v>2.8978504806501737E-3</v>
      </c>
      <c r="M145" s="2361"/>
      <c r="N145" s="2166"/>
      <c r="O145" s="2167">
        <f>SUM(O146:O147)</f>
        <v>0</v>
      </c>
      <c r="P145" s="2167">
        <f>SUM(P146:P147)</f>
        <v>0</v>
      </c>
    </row>
    <row r="146" spans="1:16">
      <c r="A146" s="2355">
        <v>15</v>
      </c>
      <c r="B146" s="2333" t="s">
        <v>2044</v>
      </c>
      <c r="C146" s="2334" t="s">
        <v>2045</v>
      </c>
      <c r="D146" s="2335" t="s">
        <v>1836</v>
      </c>
      <c r="E146" s="2336">
        <f>SUMIF('Don gia XD'!F534:F722,B146,'Don gia XD'!N534:N722)</f>
        <v>5.1780119999999989</v>
      </c>
      <c r="F146" s="2337">
        <v>27817</v>
      </c>
      <c r="G146" s="2423">
        <f>'Gia ca may XD'!V65</f>
        <v>27916</v>
      </c>
      <c r="H146" s="2337">
        <f>G146-F146</f>
        <v>99</v>
      </c>
      <c r="I146" s="2337">
        <f>E146*H146</f>
        <v>512.62318799999991</v>
      </c>
      <c r="J146" s="2337">
        <f>E146*G146</f>
        <v>144549.38299199997</v>
      </c>
      <c r="K146" s="2338">
        <f>J146/J145</f>
        <v>0.76785510745393915</v>
      </c>
      <c r="L146" s="2338"/>
      <c r="M146" s="2360"/>
      <c r="N146" s="158">
        <f>SUMIF('Don gia XD'!F534:F722,B146,'Don gia XD'!O534:O722)</f>
        <v>0</v>
      </c>
      <c r="O146" s="98">
        <f>H146*N146</f>
        <v>0</v>
      </c>
      <c r="P146" s="98">
        <f>G146*N146</f>
        <v>0</v>
      </c>
    </row>
    <row r="147" spans="1:16">
      <c r="A147" s="2355">
        <v>16</v>
      </c>
      <c r="B147" s="2333" t="s">
        <v>1868</v>
      </c>
      <c r="C147" s="2334" t="s">
        <v>1869</v>
      </c>
      <c r="D147" s="2335" t="s">
        <v>1836</v>
      </c>
      <c r="E147" s="2336">
        <f>SUMIF('Don gia XD'!F534:F722,B147,'Don gia XD'!N534:N722)</f>
        <v>0.90618080000000001</v>
      </c>
      <c r="F147" s="2337">
        <v>269172</v>
      </c>
      <c r="G147" s="2423">
        <f>'Gia ca may XD'!V66</f>
        <v>48226</v>
      </c>
      <c r="H147" s="2337">
        <f>G147-F147</f>
        <v>-220946</v>
      </c>
      <c r="I147" s="2337">
        <f>E147*H147</f>
        <v>-200217.0230368</v>
      </c>
      <c r="J147" s="2337">
        <f>E147*G147</f>
        <v>43701.475260799998</v>
      </c>
      <c r="K147" s="2338">
        <f>J147/J145</f>
        <v>0.23214489254606097</v>
      </c>
      <c r="L147" s="2338"/>
      <c r="M147" s="2360"/>
      <c r="N147" s="158">
        <f>SUMIF('Don gia XD'!F534:F722,B147,'Don gia XD'!O534:O722)</f>
        <v>0</v>
      </c>
      <c r="O147" s="98">
        <f>H147*N147</f>
        <v>0</v>
      </c>
      <c r="P147" s="98">
        <f>G147*N147</f>
        <v>0</v>
      </c>
    </row>
    <row r="148" spans="1:16">
      <c r="A148" s="2357" t="s">
        <v>110</v>
      </c>
      <c r="B148" s="2344"/>
      <c r="C148" s="2345" t="s">
        <v>232</v>
      </c>
      <c r="D148" s="2345"/>
      <c r="E148" s="2346"/>
      <c r="F148" s="2347"/>
      <c r="G148" s="2347"/>
      <c r="H148" s="2347"/>
      <c r="I148" s="2347"/>
      <c r="J148" s="2347">
        <f>J128+J142+J145</f>
        <v>64962239.94640442</v>
      </c>
      <c r="K148" s="2338"/>
      <c r="L148" s="2338"/>
      <c r="M148" s="2360"/>
    </row>
    <row r="149" spans="1:16">
      <c r="A149" s="2358"/>
      <c r="B149" s="2348"/>
      <c r="C149" s="2349"/>
      <c r="D149" s="2350"/>
      <c r="E149" s="2351"/>
      <c r="F149" s="2352"/>
      <c r="G149" s="2352"/>
      <c r="H149" s="2352"/>
      <c r="I149" s="2352"/>
      <c r="J149" s="2352"/>
      <c r="K149" s="2353"/>
      <c r="L149" s="2353"/>
      <c r="M149" s="2362"/>
    </row>
    <row r="150" spans="1:16" ht="22.5">
      <c r="A150" s="449" t="s">
        <v>2060</v>
      </c>
      <c r="B150" s="255"/>
      <c r="C150" s="101"/>
      <c r="D150" s="101"/>
      <c r="E150" s="253"/>
      <c r="F150" s="171"/>
      <c r="G150" s="171"/>
      <c r="H150" s="171"/>
      <c r="I150" s="171"/>
      <c r="J150" s="171"/>
      <c r="K150" s="858"/>
      <c r="L150" s="858"/>
      <c r="M150" s="25"/>
    </row>
    <row r="151" spans="1:16" ht="18.75">
      <c r="A151" s="1019" t="str">
        <f>Ts!H4&amp;Ts!K4</f>
        <v>CÔNG TRÌNH: NHÀ 01 TẦNG, TƯỜNG CHỊU LỰC 110MM, MÁI LỢP FIBRÔXIMĂNG, KHÔNG CÓ KHU VỆ SINH KHÉP KÍN</v>
      </c>
      <c r="B151" s="183"/>
      <c r="C151" s="94"/>
      <c r="D151" s="94"/>
      <c r="E151" s="254"/>
      <c r="F151" s="48"/>
      <c r="G151" s="48"/>
      <c r="H151" s="48"/>
      <c r="I151" s="48"/>
      <c r="J151" s="48"/>
      <c r="K151" s="859"/>
      <c r="L151" s="859"/>
      <c r="M151" s="322"/>
    </row>
    <row r="152" spans="1:16" ht="18.75">
      <c r="A152" s="1019" t="str">
        <f>"HẠNG MỤC: "&amp;'Don gia XD'!G722</f>
        <v>HẠNG MỤC: HỆ CỬA</v>
      </c>
      <c r="B152" s="183"/>
      <c r="C152" s="94"/>
      <c r="D152" s="94"/>
      <c r="E152" s="254"/>
      <c r="F152" s="48"/>
      <c r="G152" s="48"/>
      <c r="H152" s="48"/>
      <c r="I152" s="48"/>
      <c r="J152" s="48"/>
      <c r="K152" s="859"/>
      <c r="L152" s="859"/>
      <c r="M152" s="322"/>
    </row>
    <row r="153" spans="1:16">
      <c r="A153" s="17"/>
      <c r="F153" s="162"/>
      <c r="I153" s="162" t="s">
        <v>310</v>
      </c>
      <c r="J153" s="162" t="s">
        <v>310</v>
      </c>
      <c r="K153" s="860"/>
      <c r="L153" s="860"/>
      <c r="M153" s="780"/>
    </row>
    <row r="154" spans="1:16" ht="78.75">
      <c r="A154" s="1022" t="s">
        <v>196</v>
      </c>
      <c r="B154" s="1022" t="s">
        <v>135</v>
      </c>
      <c r="C154" s="1022" t="s">
        <v>138</v>
      </c>
      <c r="D154" s="1022" t="s">
        <v>122</v>
      </c>
      <c r="E154" s="1023" t="s">
        <v>136</v>
      </c>
      <c r="F154" s="1024" t="s">
        <v>246</v>
      </c>
      <c r="G154" s="1024" t="s">
        <v>272</v>
      </c>
      <c r="H154" s="1024" t="s">
        <v>139</v>
      </c>
      <c r="I154" s="1024" t="s">
        <v>124</v>
      </c>
      <c r="J154" s="1024" t="s">
        <v>124</v>
      </c>
      <c r="K154" s="1025" t="s">
        <v>616</v>
      </c>
      <c r="L154" s="1025" t="s">
        <v>617</v>
      </c>
      <c r="M154" s="1022" t="s">
        <v>322</v>
      </c>
    </row>
    <row r="155" spans="1:16">
      <c r="A155" s="2354" t="s">
        <v>97</v>
      </c>
      <c r="B155" s="2328"/>
      <c r="C155" s="2329" t="s">
        <v>224</v>
      </c>
      <c r="D155" s="2329"/>
      <c r="E155" s="2330"/>
      <c r="F155" s="2331"/>
      <c r="G155" s="2331"/>
      <c r="H155" s="2331"/>
      <c r="I155" s="2331">
        <f>SUM(I156:I163)</f>
        <v>0</v>
      </c>
      <c r="J155" s="2331">
        <f>SUM(J156:J163)</f>
        <v>3883263.3427356002</v>
      </c>
      <c r="K155" s="2332">
        <f>SUM(K156:K163)</f>
        <v>0.99999999999999978</v>
      </c>
      <c r="L155" s="2332">
        <f>J155/(J155+J164+J166)</f>
        <v>0.71356232140755405</v>
      </c>
      <c r="M155" s="2359"/>
      <c r="N155" s="2166"/>
      <c r="O155" s="2167">
        <f>SUM(O156:O163)</f>
        <v>0</v>
      </c>
      <c r="P155" s="2167">
        <f>SUM(P156:P163)</f>
        <v>22889.347263599997</v>
      </c>
    </row>
    <row r="156" spans="1:16">
      <c r="A156" s="2355">
        <v>1</v>
      </c>
      <c r="B156" s="2333" t="s">
        <v>1993</v>
      </c>
      <c r="C156" s="2334" t="s">
        <v>1994</v>
      </c>
      <c r="D156" s="2335" t="s">
        <v>1955</v>
      </c>
      <c r="E156" s="2336">
        <f>SUMIF('Don gia XD'!F723:F827,B156,'Don gia XD'!N723:N827)</f>
        <v>27.936</v>
      </c>
      <c r="F156" s="2337">
        <v>2000</v>
      </c>
      <c r="G156" s="2337">
        <f>'Gia vat lieu HTXD'!BA103</f>
        <v>2000</v>
      </c>
      <c r="H156" s="2337">
        <f t="shared" ref="H156:H162" si="25">G156-F156</f>
        <v>0</v>
      </c>
      <c r="I156" s="2337">
        <f t="shared" ref="I156:I162" si="26">E156*H156</f>
        <v>0</v>
      </c>
      <c r="J156" s="2337">
        <f t="shared" ref="J156:J162" si="27">E156*G156</f>
        <v>55872</v>
      </c>
      <c r="K156" s="2338">
        <f>J156/J155</f>
        <v>1.4387898802825065E-2</v>
      </c>
      <c r="L156" s="2338"/>
      <c r="M156" s="2360" t="s">
        <v>2061</v>
      </c>
      <c r="N156" s="158">
        <f>SUMIF('Don gia XD'!F723:F827,B156,'Don gia XD'!O723:O827)</f>
        <v>1.3968</v>
      </c>
      <c r="O156" s="98">
        <f t="shared" ref="O156:O162" si="28">H156*N156</f>
        <v>0</v>
      </c>
      <c r="P156" s="98">
        <f t="shared" ref="P156:P162" si="29">G156*N156</f>
        <v>2793.6</v>
      </c>
    </row>
    <row r="157" spans="1:16">
      <c r="A157" s="2355">
        <v>2</v>
      </c>
      <c r="B157" s="2333" t="s">
        <v>1857</v>
      </c>
      <c r="C157" s="2334" t="s">
        <v>1858</v>
      </c>
      <c r="D157" s="2335" t="s">
        <v>1848</v>
      </c>
      <c r="E157" s="2336">
        <f>SUMIF('Don gia XD'!F723:F827,B157,'Don gia XD'!N723:N827)</f>
        <v>3.3327648000000001E-2</v>
      </c>
      <c r="F157" s="2337">
        <v>435000</v>
      </c>
      <c r="G157" s="2337">
        <f>'Gia vat lieu HTXD'!BA104</f>
        <v>435000</v>
      </c>
      <c r="H157" s="2337">
        <f t="shared" si="25"/>
        <v>0</v>
      </c>
      <c r="I157" s="2337">
        <f t="shared" si="26"/>
        <v>0</v>
      </c>
      <c r="J157" s="2337">
        <f t="shared" si="27"/>
        <v>14497.526880000001</v>
      </c>
      <c r="K157" s="2338">
        <f>J157/J155</f>
        <v>3.7333360116100409E-3</v>
      </c>
      <c r="L157" s="2338"/>
      <c r="M157" s="2360" t="s">
        <v>2061</v>
      </c>
      <c r="N157" s="158">
        <f>SUMIF('Don gia XD'!F723:F827,B157,'Don gia XD'!O723:O827)</f>
        <v>1.6663824000000002E-3</v>
      </c>
      <c r="O157" s="98">
        <f t="shared" si="28"/>
        <v>0</v>
      </c>
      <c r="P157" s="98">
        <f t="shared" si="29"/>
        <v>724.87634400000013</v>
      </c>
    </row>
    <row r="158" spans="1:16">
      <c r="A158" s="2355">
        <v>3</v>
      </c>
      <c r="B158" s="2333" t="s">
        <v>1988</v>
      </c>
      <c r="C158" s="2334" t="s">
        <v>1989</v>
      </c>
      <c r="D158" s="2335" t="s">
        <v>1939</v>
      </c>
      <c r="E158" s="2336">
        <f>SUMIF('Don gia XD'!F723:F827,B158,'Don gia XD'!N723:N827)</f>
        <v>0.54837899999999995</v>
      </c>
      <c r="F158" s="2337">
        <v>8000</v>
      </c>
      <c r="G158" s="2337">
        <f>'Gia vat lieu HTXD'!BA105</f>
        <v>8000</v>
      </c>
      <c r="H158" s="2337">
        <f t="shared" si="25"/>
        <v>0</v>
      </c>
      <c r="I158" s="2337">
        <f t="shared" si="26"/>
        <v>0</v>
      </c>
      <c r="J158" s="2337">
        <f t="shared" si="27"/>
        <v>4387.0319999999992</v>
      </c>
      <c r="K158" s="2338">
        <f>J158/J155</f>
        <v>1.1297281726223374E-3</v>
      </c>
      <c r="L158" s="2338"/>
      <c r="M158" s="2360" t="s">
        <v>2061</v>
      </c>
      <c r="N158" s="158">
        <f>SUMIF('Don gia XD'!F723:F827,B158,'Don gia XD'!O723:O827)</f>
        <v>2.7418949999999998E-3</v>
      </c>
      <c r="O158" s="98">
        <f t="shared" si="28"/>
        <v>0</v>
      </c>
      <c r="P158" s="98">
        <f t="shared" si="29"/>
        <v>21.93516</v>
      </c>
    </row>
    <row r="159" spans="1:16">
      <c r="A159" s="2355">
        <v>4</v>
      </c>
      <c r="B159" s="2333" t="s">
        <v>1859</v>
      </c>
      <c r="C159" s="2334" t="s">
        <v>1860</v>
      </c>
      <c r="D159" s="2335" t="s">
        <v>1861</v>
      </c>
      <c r="E159" s="2336">
        <f>SUMIF('Don gia XD'!F723:F827,B159,'Don gia XD'!N723:N827)</f>
        <v>7.6544640000000008</v>
      </c>
      <c r="F159" s="2337">
        <v>8</v>
      </c>
      <c r="G159" s="2337">
        <f>'Gia vat lieu HTXD'!BA106</f>
        <v>8</v>
      </c>
      <c r="H159" s="2337">
        <f t="shared" si="25"/>
        <v>0</v>
      </c>
      <c r="I159" s="2337">
        <f t="shared" si="26"/>
        <v>0</v>
      </c>
      <c r="J159" s="2337">
        <f t="shared" si="27"/>
        <v>61.235712000000007</v>
      </c>
      <c r="K159" s="2338">
        <f>J159/J155</f>
        <v>1.5769137087896273E-5</v>
      </c>
      <c r="L159" s="2338"/>
      <c r="M159" s="2360" t="s">
        <v>2061</v>
      </c>
      <c r="N159" s="158">
        <f>SUMIF('Don gia XD'!F723:F827,B159,'Don gia XD'!O723:O827)</f>
        <v>0.38272320000000004</v>
      </c>
      <c r="O159" s="98">
        <f t="shared" si="28"/>
        <v>0</v>
      </c>
      <c r="P159" s="98">
        <f t="shared" si="29"/>
        <v>3.0617856000000003</v>
      </c>
    </row>
    <row r="160" spans="1:16">
      <c r="A160" s="2355">
        <v>5</v>
      </c>
      <c r="B160" s="2333" t="s">
        <v>1894</v>
      </c>
      <c r="C160" s="2334" t="s">
        <v>1895</v>
      </c>
      <c r="D160" s="2335" t="s">
        <v>1856</v>
      </c>
      <c r="E160" s="2336">
        <f>SUMIF('Don gia XD'!F723:F827,B160,'Don gia XD'!N723:N827)</f>
        <v>1.573026</v>
      </c>
      <c r="F160" s="2337">
        <v>21000</v>
      </c>
      <c r="G160" s="2337">
        <f>'Gia vat lieu HTXD'!BA107</f>
        <v>21000</v>
      </c>
      <c r="H160" s="2337">
        <f t="shared" si="25"/>
        <v>0</v>
      </c>
      <c r="I160" s="2337">
        <f t="shared" si="26"/>
        <v>0</v>
      </c>
      <c r="J160" s="2337">
        <f t="shared" si="27"/>
        <v>33033.546000000002</v>
      </c>
      <c r="K160" s="2338">
        <f>J160/J155</f>
        <v>8.5066458502732444E-3</v>
      </c>
      <c r="L160" s="2338"/>
      <c r="M160" s="2360" t="s">
        <v>2061</v>
      </c>
      <c r="N160" s="158">
        <f>SUMIF('Don gia XD'!F723:F827,B160,'Don gia XD'!O723:O827)</f>
        <v>7.8651299999999997E-3</v>
      </c>
      <c r="O160" s="98">
        <f t="shared" si="28"/>
        <v>0</v>
      </c>
      <c r="P160" s="98">
        <f t="shared" si="29"/>
        <v>165.16773000000001</v>
      </c>
    </row>
    <row r="161" spans="1:16">
      <c r="A161" s="2355">
        <v>6</v>
      </c>
      <c r="B161" s="2333" t="s">
        <v>1986</v>
      </c>
      <c r="C161" s="2334" t="s">
        <v>1987</v>
      </c>
      <c r="D161" s="2335" t="s">
        <v>1856</v>
      </c>
      <c r="E161" s="2336">
        <f>SUMIF('Don gia XD'!F723:F827,B161,'Don gia XD'!N723:N827)</f>
        <v>169.37699999999998</v>
      </c>
      <c r="F161" s="2337">
        <v>22100</v>
      </c>
      <c r="G161" s="2337">
        <f>'Gia vat lieu HTXD'!BA108</f>
        <v>22100</v>
      </c>
      <c r="H161" s="2337">
        <f t="shared" si="25"/>
        <v>0</v>
      </c>
      <c r="I161" s="2337">
        <f t="shared" si="26"/>
        <v>0</v>
      </c>
      <c r="J161" s="2337">
        <f t="shared" si="27"/>
        <v>3743231.6999999997</v>
      </c>
      <c r="K161" s="2338">
        <f>J161/J155</f>
        <v>0.96393969958345549</v>
      </c>
      <c r="L161" s="2338"/>
      <c r="M161" s="2360" t="s">
        <v>2061</v>
      </c>
      <c r="N161" s="158">
        <f>SUMIF('Don gia XD'!F723:F827,B161,'Don gia XD'!O723:O827)</f>
        <v>0.84688499999999989</v>
      </c>
      <c r="O161" s="98">
        <f t="shared" si="28"/>
        <v>0</v>
      </c>
      <c r="P161" s="98">
        <f t="shared" si="29"/>
        <v>18716.158499999998</v>
      </c>
    </row>
    <row r="162" spans="1:16">
      <c r="A162" s="2355">
        <v>7</v>
      </c>
      <c r="B162" s="2333" t="s">
        <v>1901</v>
      </c>
      <c r="C162" s="2334" t="s">
        <v>1902</v>
      </c>
      <c r="D162" s="2335" t="s">
        <v>1856</v>
      </c>
      <c r="E162" s="2336">
        <f>SUMIF('Don gia XD'!F723:F827,B162,'Don gia XD'!N723:N827)</f>
        <v>6.7325759999999999</v>
      </c>
      <c r="F162" s="2337">
        <v>1380</v>
      </c>
      <c r="G162" s="2337">
        <f>'Gia vat lieu HTXD'!BA109</f>
        <v>1380</v>
      </c>
      <c r="H162" s="2337">
        <f t="shared" si="25"/>
        <v>0</v>
      </c>
      <c r="I162" s="2337">
        <f t="shared" si="26"/>
        <v>0</v>
      </c>
      <c r="J162" s="2337">
        <f t="shared" si="27"/>
        <v>9290.9548799999993</v>
      </c>
      <c r="K162" s="2338">
        <f>J162/J155</f>
        <v>2.3925636919217797E-3</v>
      </c>
      <c r="L162" s="2338"/>
      <c r="M162" s="2360" t="s">
        <v>2061</v>
      </c>
      <c r="N162" s="158">
        <f>SUMIF('Don gia XD'!F723:F827,B162,'Don gia XD'!O723:O827)</f>
        <v>0.33662880000000001</v>
      </c>
      <c r="O162" s="98">
        <f t="shared" si="28"/>
        <v>0</v>
      </c>
      <c r="P162" s="98">
        <f t="shared" si="29"/>
        <v>464.54774400000002</v>
      </c>
    </row>
    <row r="163" spans="1:16">
      <c r="A163" s="2355"/>
      <c r="B163" s="2333"/>
      <c r="C163" s="2334" t="s">
        <v>226</v>
      </c>
      <c r="D163" s="2335" t="s">
        <v>1850</v>
      </c>
      <c r="E163" s="2336"/>
      <c r="F163" s="2337"/>
      <c r="G163" s="2337"/>
      <c r="H163" s="2337"/>
      <c r="I163" s="2337">
        <f>O155</f>
        <v>0</v>
      </c>
      <c r="J163" s="2337">
        <f>P155</f>
        <v>22889.347263599997</v>
      </c>
      <c r="K163" s="2338">
        <f>J163/J155</f>
        <v>5.8943587502039941E-3</v>
      </c>
      <c r="L163" s="2338"/>
      <c r="M163" s="2360"/>
    </row>
    <row r="164" spans="1:16">
      <c r="A164" s="2356" t="s">
        <v>195</v>
      </c>
      <c r="B164" s="2339"/>
      <c r="C164" s="2340" t="s">
        <v>225</v>
      </c>
      <c r="D164" s="2340"/>
      <c r="E164" s="2341"/>
      <c r="F164" s="2342"/>
      <c r="G164" s="2342"/>
      <c r="H164" s="2342"/>
      <c r="I164" s="2342">
        <f>SUM(I165:I165)</f>
        <v>-10400.155976842041</v>
      </c>
      <c r="J164" s="2342">
        <f>SUM(J165:J165)</f>
        <v>1484934.790263158</v>
      </c>
      <c r="K164" s="2343">
        <f>SUM(K165:K165)</f>
        <v>1</v>
      </c>
      <c r="L164" s="2343">
        <f>J164/(J155+J164+J166)</f>
        <v>0.27286161729443209</v>
      </c>
      <c r="M164" s="2361"/>
      <c r="N164" s="2166"/>
      <c r="O164" s="2167">
        <f>SUM(O165:O165)</f>
        <v>0</v>
      </c>
      <c r="P164" s="2167">
        <f>SUM(P165:P165)</f>
        <v>0</v>
      </c>
    </row>
    <row r="165" spans="1:16">
      <c r="A165" s="2355">
        <v>8</v>
      </c>
      <c r="B165" s="2333" t="s">
        <v>1951</v>
      </c>
      <c r="C165" s="2334" t="s">
        <v>1952</v>
      </c>
      <c r="D165" s="2335" t="s">
        <v>1833</v>
      </c>
      <c r="E165" s="2336">
        <f>SUMIF('Don gia XD'!F723:F827,B165,'Don gia XD'!N723:N827)</f>
        <v>5.9866080000000004</v>
      </c>
      <c r="F165" s="2337">
        <v>249780</v>
      </c>
      <c r="G165" s="2337">
        <f>'Nhan cong XD'!H60</f>
        <v>248042.76315789475</v>
      </c>
      <c r="H165" s="2337">
        <f>G165-F165</f>
        <v>-1737.2368421052524</v>
      </c>
      <c r="I165" s="2337">
        <f>E165*H165</f>
        <v>-10400.155976842041</v>
      </c>
      <c r="J165" s="2337">
        <f>E165*G165</f>
        <v>1484934.790263158</v>
      </c>
      <c r="K165" s="2338">
        <f>J165/J164</f>
        <v>1</v>
      </c>
      <c r="L165" s="2338"/>
      <c r="M165" s="2360"/>
      <c r="N165" s="158">
        <f>SUMIF('Don gia XD'!F723:F827,B165,'Don gia XD'!O723:O827)</f>
        <v>0</v>
      </c>
      <c r="O165" s="98">
        <f>H165*N165</f>
        <v>0</v>
      </c>
      <c r="P165" s="98">
        <f>G165*N165</f>
        <v>0</v>
      </c>
    </row>
    <row r="166" spans="1:16">
      <c r="A166" s="2356" t="s">
        <v>101</v>
      </c>
      <c r="B166" s="2339"/>
      <c r="C166" s="2340" t="s">
        <v>228</v>
      </c>
      <c r="D166" s="2340"/>
      <c r="E166" s="2341"/>
      <c r="F166" s="2342"/>
      <c r="G166" s="2342"/>
      <c r="H166" s="2342"/>
      <c r="I166" s="2342">
        <f>SUM(I167:I170)</f>
        <v>-199350.52472048998</v>
      </c>
      <c r="J166" s="2342">
        <f>SUM(J167:J170)</f>
        <v>73882.013659739998</v>
      </c>
      <c r="K166" s="2343">
        <f>SUM(K167:K170)</f>
        <v>1.0000000000000002</v>
      </c>
      <c r="L166" s="2343">
        <f>J166/(J155+J164+J166)</f>
        <v>1.3576061298013855E-2</v>
      </c>
      <c r="M166" s="2361"/>
      <c r="N166" s="2166"/>
      <c r="O166" s="2167">
        <f>SUM(O167:O170)</f>
        <v>-1973.7675714900001</v>
      </c>
      <c r="P166" s="2167">
        <f>SUM(P167:P170)</f>
        <v>731.50508574000003</v>
      </c>
    </row>
    <row r="167" spans="1:16">
      <c r="A167" s="2355">
        <v>9</v>
      </c>
      <c r="B167" s="2333" t="s">
        <v>1889</v>
      </c>
      <c r="C167" s="2334" t="s">
        <v>1890</v>
      </c>
      <c r="D167" s="2335" t="s">
        <v>1836</v>
      </c>
      <c r="E167" s="2336">
        <f>SUMIF('Don gia XD'!F723:F827,B167,'Don gia XD'!N723:N827)</f>
        <v>0.37061699999999997</v>
      </c>
      <c r="F167" s="2337">
        <v>255589</v>
      </c>
      <c r="G167" s="2423">
        <f>'Gia ca may XD'!V75</f>
        <v>34676</v>
      </c>
      <c r="H167" s="2337">
        <f>G167-F167</f>
        <v>-220913</v>
      </c>
      <c r="I167" s="2337">
        <f>E167*H167</f>
        <v>-81874.113320999997</v>
      </c>
      <c r="J167" s="2337">
        <f>E167*G167</f>
        <v>12851.515092</v>
      </c>
      <c r="K167" s="2338">
        <f>J167/J166</f>
        <v>0.17394646484849513</v>
      </c>
      <c r="L167" s="2338"/>
      <c r="M167" s="2360"/>
      <c r="N167" s="158">
        <f>SUMIF('Don gia XD'!F723:F827,B167,'Don gia XD'!O723:O827)</f>
        <v>3.70617E-3</v>
      </c>
      <c r="O167" s="98">
        <f>H167*N167</f>
        <v>-818.74113321000004</v>
      </c>
      <c r="P167" s="98">
        <f>G167*N167</f>
        <v>128.51515092</v>
      </c>
    </row>
    <row r="168" spans="1:16">
      <c r="A168" s="2355">
        <v>10</v>
      </c>
      <c r="B168" s="2333" t="s">
        <v>1896</v>
      </c>
      <c r="C168" s="2334" t="s">
        <v>1897</v>
      </c>
      <c r="D168" s="2335" t="s">
        <v>1836</v>
      </c>
      <c r="E168" s="2336">
        <f>SUMIF('Don gia XD'!F723:F827,B168,'Don gia XD'!N723:N827)</f>
        <v>0.44272800000000001</v>
      </c>
      <c r="F168" s="2337">
        <v>381197</v>
      </c>
      <c r="G168" s="2423">
        <f>'Gia ca may XD'!V76</f>
        <v>120198</v>
      </c>
      <c r="H168" s="2337">
        <f>G168-F168</f>
        <v>-260999</v>
      </c>
      <c r="I168" s="2337">
        <f>E168*H168</f>
        <v>-115551.56527200001</v>
      </c>
      <c r="J168" s="2337">
        <f>E168*G168</f>
        <v>53215.020144000002</v>
      </c>
      <c r="K168" s="2338">
        <f>J168/J166</f>
        <v>0.72027030000940662</v>
      </c>
      <c r="L168" s="2338"/>
      <c r="M168" s="2360"/>
      <c r="N168" s="158">
        <f>SUMIF('Don gia XD'!F723:F827,B168,'Don gia XD'!O723:O827)</f>
        <v>4.4272800000000005E-3</v>
      </c>
      <c r="O168" s="98">
        <f>H168*N168</f>
        <v>-1155.5156527200002</v>
      </c>
      <c r="P168" s="98">
        <f>G168*N168</f>
        <v>532.15020144000005</v>
      </c>
    </row>
    <row r="169" spans="1:16">
      <c r="A169" s="2355">
        <v>11</v>
      </c>
      <c r="B169" s="2333" t="s">
        <v>1990</v>
      </c>
      <c r="C169" s="2334" t="s">
        <v>1991</v>
      </c>
      <c r="D169" s="2335" t="s">
        <v>1836</v>
      </c>
      <c r="E169" s="2336">
        <f>SUMIF('Don gia XD'!F723:F827,B169,'Don gia XD'!N723:N827)</f>
        <v>0.37061699999999997</v>
      </c>
      <c r="F169" s="2337">
        <v>18982</v>
      </c>
      <c r="G169" s="2423">
        <f>'Gia ca may XD'!V77</f>
        <v>19114</v>
      </c>
      <c r="H169" s="2337">
        <f>G169-F169</f>
        <v>132</v>
      </c>
      <c r="I169" s="2337">
        <f>E169*H169</f>
        <v>48.921443999999994</v>
      </c>
      <c r="J169" s="2337">
        <f>E169*G169</f>
        <v>7083.9733379999998</v>
      </c>
      <c r="K169" s="2338">
        <f>J169/J166</f>
        <v>9.5882245043088468E-2</v>
      </c>
      <c r="L169" s="2338"/>
      <c r="M169" s="2360"/>
      <c r="N169" s="158">
        <f>SUMIF('Don gia XD'!F723:F827,B169,'Don gia XD'!O723:O827)</f>
        <v>3.70617E-3</v>
      </c>
      <c r="O169" s="98">
        <f>H169*N169</f>
        <v>0.48921443999999997</v>
      </c>
      <c r="P169" s="98">
        <f>G169*N169</f>
        <v>70.839733379999998</v>
      </c>
    </row>
    <row r="170" spans="1:16">
      <c r="A170" s="2355"/>
      <c r="B170" s="2333"/>
      <c r="C170" s="2334" t="s">
        <v>227</v>
      </c>
      <c r="D170" s="2335" t="s">
        <v>1850</v>
      </c>
      <c r="E170" s="2336"/>
      <c r="F170" s="2337"/>
      <c r="G170" s="2337"/>
      <c r="H170" s="2337"/>
      <c r="I170" s="2337">
        <f>O166</f>
        <v>-1973.7675714900001</v>
      </c>
      <c r="J170" s="2337">
        <f>P166</f>
        <v>731.50508574000003</v>
      </c>
      <c r="K170" s="2338">
        <f>J170/J166</f>
        <v>9.9009900990099011E-3</v>
      </c>
      <c r="L170" s="2338"/>
      <c r="M170" s="2360"/>
    </row>
    <row r="171" spans="1:16">
      <c r="A171" s="2357" t="s">
        <v>110</v>
      </c>
      <c r="B171" s="2344"/>
      <c r="C171" s="2345" t="s">
        <v>232</v>
      </c>
      <c r="D171" s="2345"/>
      <c r="E171" s="2346"/>
      <c r="F171" s="2347"/>
      <c r="G171" s="2347"/>
      <c r="H171" s="2347"/>
      <c r="I171" s="2347"/>
      <c r="J171" s="2347">
        <f>J155+J164+J166</f>
        <v>5442080.1466584979</v>
      </c>
      <c r="K171" s="2338"/>
      <c r="L171" s="2338"/>
      <c r="M171" s="2360"/>
    </row>
    <row r="172" spans="1:16">
      <c r="A172" s="2358"/>
      <c r="B172" s="2348"/>
      <c r="C172" s="2349"/>
      <c r="D172" s="2350"/>
      <c r="E172" s="2351"/>
      <c r="F172" s="2352"/>
      <c r="G172" s="2352"/>
      <c r="H172" s="2352"/>
      <c r="I172" s="2352"/>
      <c r="J172" s="2352"/>
      <c r="K172" s="2353"/>
      <c r="L172" s="2353"/>
      <c r="M172" s="2362"/>
    </row>
    <row r="173" spans="1:16" ht="22.5">
      <c r="A173" s="449" t="s">
        <v>2060</v>
      </c>
      <c r="B173" s="255"/>
      <c r="C173" s="101"/>
      <c r="D173" s="101"/>
      <c r="E173" s="253"/>
      <c r="F173" s="171"/>
      <c r="G173" s="171"/>
      <c r="H173" s="171"/>
      <c r="I173" s="171"/>
      <c r="J173" s="171"/>
      <c r="K173" s="858"/>
      <c r="L173" s="858"/>
      <c r="M173" s="25"/>
    </row>
    <row r="174" spans="1:16" ht="18.75">
      <c r="A174" s="1019" t="str">
        <f>Ts!H4&amp;Ts!K4</f>
        <v>CÔNG TRÌNH: NHÀ 01 TẦNG, TƯỜNG CHỊU LỰC 110MM, MÁI LỢP FIBRÔXIMĂNG, KHÔNG CÓ KHU VỆ SINH KHÉP KÍN</v>
      </c>
      <c r="B174" s="183"/>
      <c r="C174" s="94"/>
      <c r="D174" s="94"/>
      <c r="E174" s="254"/>
      <c r="F174" s="48"/>
      <c r="G174" s="48"/>
      <c r="H174" s="48"/>
      <c r="I174" s="48"/>
      <c r="J174" s="48"/>
      <c r="K174" s="859"/>
      <c r="L174" s="859"/>
      <c r="M174" s="322"/>
    </row>
    <row r="175" spans="1:16" ht="18.75">
      <c r="A175" s="1019" t="str">
        <f>"HẠNG MỤC: "&amp;'Don gia XD'!G827</f>
        <v>HẠNG MỤC: PHẦN ĐIỆN</v>
      </c>
      <c r="B175" s="183"/>
      <c r="C175" s="94"/>
      <c r="D175" s="94"/>
      <c r="E175" s="254"/>
      <c r="F175" s="48"/>
      <c r="G175" s="48"/>
      <c r="H175" s="48"/>
      <c r="I175" s="48"/>
      <c r="J175" s="48"/>
      <c r="K175" s="859"/>
      <c r="L175" s="859"/>
      <c r="M175" s="322"/>
    </row>
    <row r="176" spans="1:16">
      <c r="A176" s="17"/>
      <c r="F176" s="162"/>
      <c r="I176" s="162" t="s">
        <v>310</v>
      </c>
      <c r="J176" s="162" t="s">
        <v>310</v>
      </c>
      <c r="K176" s="860"/>
      <c r="L176" s="860"/>
      <c r="M176" s="780"/>
    </row>
    <row r="177" spans="1:16" ht="78.75">
      <c r="A177" s="1022" t="s">
        <v>196</v>
      </c>
      <c r="B177" s="1022" t="s">
        <v>135</v>
      </c>
      <c r="C177" s="1022" t="s">
        <v>138</v>
      </c>
      <c r="D177" s="1022" t="s">
        <v>122</v>
      </c>
      <c r="E177" s="1023" t="s">
        <v>136</v>
      </c>
      <c r="F177" s="1024" t="s">
        <v>246</v>
      </c>
      <c r="G177" s="1024" t="s">
        <v>272</v>
      </c>
      <c r="H177" s="1024" t="s">
        <v>139</v>
      </c>
      <c r="I177" s="1024" t="s">
        <v>124</v>
      </c>
      <c r="J177" s="1024" t="s">
        <v>124</v>
      </c>
      <c r="K177" s="1025" t="s">
        <v>616</v>
      </c>
      <c r="L177" s="1025" t="s">
        <v>617</v>
      </c>
      <c r="M177" s="1022" t="s">
        <v>322</v>
      </c>
    </row>
    <row r="178" spans="1:16">
      <c r="A178" s="2354" t="s">
        <v>97</v>
      </c>
      <c r="B178" s="2328"/>
      <c r="C178" s="2329" t="s">
        <v>224</v>
      </c>
      <c r="D178" s="2329"/>
      <c r="E178" s="2330"/>
      <c r="F178" s="2331"/>
      <c r="G178" s="2331"/>
      <c r="H178" s="2331"/>
      <c r="I178" s="2331">
        <f>SUM(I179:I194)</f>
        <v>0</v>
      </c>
      <c r="J178" s="2331">
        <f>SUM(J179:J194)</f>
        <v>6047309.948499999</v>
      </c>
      <c r="K178" s="2332">
        <f>SUM(K179:K194)</f>
        <v>1.0000000000000002</v>
      </c>
      <c r="L178" s="2332">
        <f>J178/(J178+J195+J197)</f>
        <v>0.55185599899366256</v>
      </c>
      <c r="M178" s="2359"/>
      <c r="N178" s="2166"/>
      <c r="O178" s="2167">
        <f>SUM(O179:O194)</f>
        <v>0</v>
      </c>
      <c r="P178" s="2167">
        <f>SUM(P179:P194)</f>
        <v>213372.5785</v>
      </c>
    </row>
    <row r="179" spans="1:16">
      <c r="A179" s="2355">
        <v>1</v>
      </c>
      <c r="B179" s="2333" t="s">
        <v>2004</v>
      </c>
      <c r="C179" s="2334" t="s">
        <v>2005</v>
      </c>
      <c r="D179" s="2335" t="s">
        <v>1955</v>
      </c>
      <c r="E179" s="2336">
        <f>SUMIF('Don gia XD'!F828:F1124,B179,'Don gia XD'!N828:N1124)</f>
        <v>1</v>
      </c>
      <c r="F179" s="2337">
        <v>26180</v>
      </c>
      <c r="G179" s="2337">
        <f>'Gia vat lieu HTXD'!BA117</f>
        <v>26180</v>
      </c>
      <c r="H179" s="2337">
        <f t="shared" ref="H179:H193" si="30">G179-F179</f>
        <v>0</v>
      </c>
      <c r="I179" s="2337">
        <f t="shared" ref="I179:I193" si="31">E179*H179</f>
        <v>0</v>
      </c>
      <c r="J179" s="2337">
        <f t="shared" ref="J179:J193" si="32">E179*G179</f>
        <v>26180</v>
      </c>
      <c r="K179" s="2338">
        <f>J179/J178</f>
        <v>4.3291976470453278E-3</v>
      </c>
      <c r="L179" s="2338"/>
      <c r="M179" s="2360" t="s">
        <v>2061</v>
      </c>
      <c r="N179" s="158">
        <f>SUMIF('Don gia XD'!F828:F1124,B179,'Don gia XD'!O828:O1124)</f>
        <v>0.05</v>
      </c>
      <c r="O179" s="98">
        <f t="shared" ref="O179:O193" si="33">H179*N179</f>
        <v>0</v>
      </c>
      <c r="P179" s="98">
        <f t="shared" ref="P179:P193" si="34">G179*N179</f>
        <v>1309</v>
      </c>
    </row>
    <row r="180" spans="1:16">
      <c r="A180" s="2355">
        <v>2</v>
      </c>
      <c r="B180" s="2333" t="s">
        <v>2002</v>
      </c>
      <c r="C180" s="2334" t="s">
        <v>2003</v>
      </c>
      <c r="D180" s="2335" t="s">
        <v>1955</v>
      </c>
      <c r="E180" s="2336">
        <f>SUMIF('Don gia XD'!F828:F1124,B180,'Don gia XD'!N828:N1124)</f>
        <v>2</v>
      </c>
      <c r="F180" s="2337">
        <v>34425</v>
      </c>
      <c r="G180" s="2337">
        <f>'Gia vat lieu HTXD'!BA118</f>
        <v>34425</v>
      </c>
      <c r="H180" s="2337">
        <f t="shared" si="30"/>
        <v>0</v>
      </c>
      <c r="I180" s="2337">
        <f t="shared" si="31"/>
        <v>0</v>
      </c>
      <c r="J180" s="2337">
        <f t="shared" si="32"/>
        <v>68850</v>
      </c>
      <c r="K180" s="2338">
        <f>J180/J178</f>
        <v>1.1385227578268558E-2</v>
      </c>
      <c r="L180" s="2338"/>
      <c r="M180" s="2360" t="s">
        <v>2061</v>
      </c>
      <c r="N180" s="158">
        <f>SUMIF('Don gia XD'!F828:F1124,B180,'Don gia XD'!O828:O1124)</f>
        <v>0.06</v>
      </c>
      <c r="O180" s="98">
        <f t="shared" si="33"/>
        <v>0</v>
      </c>
      <c r="P180" s="98">
        <f t="shared" si="34"/>
        <v>2065.5</v>
      </c>
    </row>
    <row r="181" spans="1:16">
      <c r="A181" s="2355">
        <v>3</v>
      </c>
      <c r="B181" s="2333" t="s">
        <v>2000</v>
      </c>
      <c r="C181" s="2334" t="s">
        <v>2001</v>
      </c>
      <c r="D181" s="2335" t="s">
        <v>1955</v>
      </c>
      <c r="E181" s="2336">
        <f>SUMIF('Don gia XD'!F828:F1124,B181,'Don gia XD'!N828:N1124)</f>
        <v>1</v>
      </c>
      <c r="F181" s="2337">
        <v>296000</v>
      </c>
      <c r="G181" s="2337">
        <f>'Gia vat lieu HTXD'!BA119</f>
        <v>296000</v>
      </c>
      <c r="H181" s="2337">
        <f t="shared" si="30"/>
        <v>0</v>
      </c>
      <c r="I181" s="2337">
        <f t="shared" si="31"/>
        <v>0</v>
      </c>
      <c r="J181" s="2337">
        <f t="shared" si="32"/>
        <v>296000</v>
      </c>
      <c r="K181" s="2338">
        <f>J181/J178</f>
        <v>4.8947383633514786E-2</v>
      </c>
      <c r="L181" s="2338"/>
      <c r="M181" s="2360" t="s">
        <v>2061</v>
      </c>
      <c r="N181" s="158">
        <f>SUMIF('Don gia XD'!F828:F1124,B181,'Don gia XD'!O828:O1124)</f>
        <v>0.02</v>
      </c>
      <c r="O181" s="98">
        <f t="shared" si="33"/>
        <v>0</v>
      </c>
      <c r="P181" s="98">
        <f t="shared" si="34"/>
        <v>5920</v>
      </c>
    </row>
    <row r="182" spans="1:16">
      <c r="A182" s="2355">
        <v>4</v>
      </c>
      <c r="B182" s="2333" t="s">
        <v>2011</v>
      </c>
      <c r="C182" s="2334" t="s">
        <v>2012</v>
      </c>
      <c r="D182" s="2335" t="s">
        <v>2006</v>
      </c>
      <c r="E182" s="2336">
        <f>SUMIF('Don gia XD'!F828:F1124,B182,'Don gia XD'!N828:N1124)</f>
        <v>4</v>
      </c>
      <c r="F182" s="2337">
        <v>5000</v>
      </c>
      <c r="G182" s="2337">
        <f>'Gia vat lieu HTXD'!BA120</f>
        <v>5000</v>
      </c>
      <c r="H182" s="2337">
        <f t="shared" si="30"/>
        <v>0</v>
      </c>
      <c r="I182" s="2337">
        <f t="shared" si="31"/>
        <v>0</v>
      </c>
      <c r="J182" s="2337">
        <f t="shared" si="32"/>
        <v>20000</v>
      </c>
      <c r="K182" s="2338">
        <f>J182/J178</f>
        <v>3.3072556509131613E-3</v>
      </c>
      <c r="L182" s="2338"/>
      <c r="M182" s="2360" t="s">
        <v>2061</v>
      </c>
      <c r="N182" s="158">
        <f>SUMIF('Don gia XD'!F828:F1124,B182,'Don gia XD'!O828:O1124)</f>
        <v>0.2</v>
      </c>
      <c r="O182" s="98">
        <f t="shared" si="33"/>
        <v>0</v>
      </c>
      <c r="P182" s="98">
        <f t="shared" si="34"/>
        <v>1000</v>
      </c>
    </row>
    <row r="183" spans="1:16">
      <c r="A183" s="2355">
        <v>5</v>
      </c>
      <c r="B183" s="2333" t="s">
        <v>2013</v>
      </c>
      <c r="C183" s="2334" t="s">
        <v>2014</v>
      </c>
      <c r="D183" s="2335" t="s">
        <v>1955</v>
      </c>
      <c r="E183" s="2336">
        <f>SUMIF('Don gia XD'!F828:F1124,B183,'Don gia XD'!N828:N1124)</f>
        <v>1</v>
      </c>
      <c r="F183" s="2337">
        <v>35500</v>
      </c>
      <c r="G183" s="2337">
        <f>'Gia vat lieu HTXD'!BA121</f>
        <v>35500</v>
      </c>
      <c r="H183" s="2337">
        <f t="shared" si="30"/>
        <v>0</v>
      </c>
      <c r="I183" s="2337">
        <f t="shared" si="31"/>
        <v>0</v>
      </c>
      <c r="J183" s="2337">
        <f t="shared" si="32"/>
        <v>35500</v>
      </c>
      <c r="K183" s="2338">
        <f>J183/J178</f>
        <v>5.8703787803708616E-3</v>
      </c>
      <c r="L183" s="2338"/>
      <c r="M183" s="2360" t="s">
        <v>2061</v>
      </c>
      <c r="N183" s="158">
        <f>SUMIF('Don gia XD'!F828:F1124,B183,'Don gia XD'!O828:O1124)</f>
        <v>5.0000000000000001E-3</v>
      </c>
      <c r="O183" s="98">
        <f t="shared" si="33"/>
        <v>0</v>
      </c>
      <c r="P183" s="98">
        <f t="shared" si="34"/>
        <v>177.5</v>
      </c>
    </row>
    <row r="184" spans="1:16">
      <c r="A184" s="2355">
        <v>6</v>
      </c>
      <c r="B184" s="2333" t="s">
        <v>2015</v>
      </c>
      <c r="C184" s="2334" t="s">
        <v>2016</v>
      </c>
      <c r="D184" s="2335" t="s">
        <v>1955</v>
      </c>
      <c r="E184" s="2336">
        <f>SUMIF('Don gia XD'!F828:F1124,B184,'Don gia XD'!N828:N1124)</f>
        <v>1</v>
      </c>
      <c r="F184" s="2337">
        <v>45000</v>
      </c>
      <c r="G184" s="2337">
        <f>'Gia vat lieu HTXD'!BA122</f>
        <v>45000</v>
      </c>
      <c r="H184" s="2337">
        <f t="shared" si="30"/>
        <v>0</v>
      </c>
      <c r="I184" s="2337">
        <f t="shared" si="31"/>
        <v>0</v>
      </c>
      <c r="J184" s="2337">
        <f t="shared" si="32"/>
        <v>45000</v>
      </c>
      <c r="K184" s="2338">
        <f>J184/J178</f>
        <v>7.4413252145546132E-3</v>
      </c>
      <c r="L184" s="2338"/>
      <c r="M184" s="2360" t="s">
        <v>2061</v>
      </c>
      <c r="N184" s="158">
        <f>SUMIF('Don gia XD'!F828:F1124,B184,'Don gia XD'!O828:O1124)</f>
        <v>5.0000000000000001E-3</v>
      </c>
      <c r="O184" s="98">
        <f t="shared" si="33"/>
        <v>0</v>
      </c>
      <c r="P184" s="98">
        <f t="shared" si="34"/>
        <v>225</v>
      </c>
    </row>
    <row r="185" spans="1:16">
      <c r="A185" s="2355">
        <v>7</v>
      </c>
      <c r="B185" s="2333" t="s">
        <v>2017</v>
      </c>
      <c r="C185" s="2334" t="s">
        <v>2018</v>
      </c>
      <c r="D185" s="2335" t="s">
        <v>1955</v>
      </c>
      <c r="E185" s="2336">
        <f>SUMIF('Don gia XD'!F828:F1124,B185,'Don gia XD'!N828:N1124)</f>
        <v>1</v>
      </c>
      <c r="F185" s="2337">
        <v>64000</v>
      </c>
      <c r="G185" s="2337">
        <f>'Gia vat lieu HTXD'!BA123</f>
        <v>64000</v>
      </c>
      <c r="H185" s="2337">
        <f t="shared" si="30"/>
        <v>0</v>
      </c>
      <c r="I185" s="2337">
        <f t="shared" si="31"/>
        <v>0</v>
      </c>
      <c r="J185" s="2337">
        <f t="shared" si="32"/>
        <v>64000</v>
      </c>
      <c r="K185" s="2338">
        <f>J185/J178</f>
        <v>1.0583218082922115E-2</v>
      </c>
      <c r="L185" s="2338"/>
      <c r="M185" s="2360" t="s">
        <v>2061</v>
      </c>
      <c r="N185" s="158">
        <f>SUMIF('Don gia XD'!F828:F1124,B185,'Don gia XD'!O828:O1124)</f>
        <v>5.0000000000000001E-3</v>
      </c>
      <c r="O185" s="98">
        <f t="shared" si="33"/>
        <v>0</v>
      </c>
      <c r="P185" s="98">
        <f t="shared" si="34"/>
        <v>320</v>
      </c>
    </row>
    <row r="186" spans="1:16">
      <c r="A186" s="2355">
        <v>8</v>
      </c>
      <c r="B186" s="2333" t="s">
        <v>2009</v>
      </c>
      <c r="C186" s="2334" t="s">
        <v>2010</v>
      </c>
      <c r="D186" s="2335" t="s">
        <v>2006</v>
      </c>
      <c r="E186" s="2336">
        <f>SUMIF('Don gia XD'!F828:F1124,B186,'Don gia XD'!N828:N1124)</f>
        <v>4</v>
      </c>
      <c r="F186" s="2337">
        <v>120000</v>
      </c>
      <c r="G186" s="2337">
        <f>'Gia vat lieu HTXD'!BA124</f>
        <v>120000</v>
      </c>
      <c r="H186" s="2337">
        <f t="shared" si="30"/>
        <v>0</v>
      </c>
      <c r="I186" s="2337">
        <f t="shared" si="31"/>
        <v>0</v>
      </c>
      <c r="J186" s="2337">
        <f t="shared" si="32"/>
        <v>480000</v>
      </c>
      <c r="K186" s="2338">
        <f>J186/J178</f>
        <v>7.9374135621915864E-2</v>
      </c>
      <c r="L186" s="2338"/>
      <c r="M186" s="2360" t="s">
        <v>2061</v>
      </c>
      <c r="N186" s="158">
        <f>SUMIF('Don gia XD'!F828:F1124,B186,'Don gia XD'!O828:O1124)</f>
        <v>0.2</v>
      </c>
      <c r="O186" s="98">
        <f t="shared" si="33"/>
        <v>0</v>
      </c>
      <c r="P186" s="98">
        <f t="shared" si="34"/>
        <v>24000</v>
      </c>
    </row>
    <row r="187" spans="1:16">
      <c r="A187" s="2355">
        <v>9</v>
      </c>
      <c r="B187" s="2333" t="s">
        <v>2022</v>
      </c>
      <c r="C187" s="2334" t="s">
        <v>2023</v>
      </c>
      <c r="D187" s="2335" t="s">
        <v>2021</v>
      </c>
      <c r="E187" s="2336">
        <f>SUMIF('Don gia XD'!F828:F1124,B187,'Don gia XD'!N828:N1124)</f>
        <v>10.1</v>
      </c>
      <c r="F187" s="2337">
        <v>19190</v>
      </c>
      <c r="G187" s="2337">
        <f>'Gia vat lieu HTXD'!BA125</f>
        <v>19190</v>
      </c>
      <c r="H187" s="2337">
        <f t="shared" si="30"/>
        <v>0</v>
      </c>
      <c r="I187" s="2337">
        <f t="shared" si="31"/>
        <v>0</v>
      </c>
      <c r="J187" s="2337">
        <f t="shared" si="32"/>
        <v>193819</v>
      </c>
      <c r="K187" s="2338">
        <f>J187/J178</f>
        <v>3.2050449150216903E-2</v>
      </c>
      <c r="L187" s="2338"/>
      <c r="M187" s="2360" t="s">
        <v>2061</v>
      </c>
      <c r="N187" s="158">
        <f>SUMIF('Don gia XD'!F828:F1124,B187,'Don gia XD'!O828:O1124)</f>
        <v>0.30299999999999999</v>
      </c>
      <c r="O187" s="98">
        <f t="shared" si="33"/>
        <v>0</v>
      </c>
      <c r="P187" s="98">
        <f t="shared" si="34"/>
        <v>5814.57</v>
      </c>
    </row>
    <row r="188" spans="1:16">
      <c r="A188" s="2355">
        <v>10</v>
      </c>
      <c r="B188" s="2333" t="s">
        <v>2026</v>
      </c>
      <c r="C188" s="2334" t="s">
        <v>2027</v>
      </c>
      <c r="D188" s="2335" t="s">
        <v>2021</v>
      </c>
      <c r="E188" s="2336">
        <f>SUMIF('Don gia XD'!F828:F1124,B188,'Don gia XD'!N828:N1124)</f>
        <v>318.14999999999998</v>
      </c>
      <c r="F188" s="2337">
        <v>8027</v>
      </c>
      <c r="G188" s="2337">
        <f>'Gia vat lieu HTXD'!BA126</f>
        <v>8027</v>
      </c>
      <c r="H188" s="2337">
        <f t="shared" si="30"/>
        <v>0</v>
      </c>
      <c r="I188" s="2337">
        <f t="shared" si="31"/>
        <v>0</v>
      </c>
      <c r="J188" s="2337">
        <f t="shared" si="32"/>
        <v>2553790.0499999998</v>
      </c>
      <c r="K188" s="2338">
        <f>J188/J178</f>
        <v>0.42230182870541522</v>
      </c>
      <c r="L188" s="2338"/>
      <c r="M188" s="2360" t="s">
        <v>2061</v>
      </c>
      <c r="N188" s="158">
        <f>SUMIF('Don gia XD'!F828:F1124,B188,'Don gia XD'!O828:O1124)</f>
        <v>9.5444999999999993</v>
      </c>
      <c r="O188" s="98">
        <f t="shared" si="33"/>
        <v>0</v>
      </c>
      <c r="P188" s="98">
        <f t="shared" si="34"/>
        <v>76613.701499999996</v>
      </c>
    </row>
    <row r="189" spans="1:16">
      <c r="A189" s="2355">
        <v>11</v>
      </c>
      <c r="B189" s="2333" t="s">
        <v>2024</v>
      </c>
      <c r="C189" s="2334" t="s">
        <v>2025</v>
      </c>
      <c r="D189" s="2335" t="s">
        <v>2021</v>
      </c>
      <c r="E189" s="2336">
        <f>SUMIF('Don gia XD'!F828:F1124,B189,'Don gia XD'!N828:N1124)</f>
        <v>10.1</v>
      </c>
      <c r="F189" s="2337">
        <v>18273</v>
      </c>
      <c r="G189" s="2337">
        <f>'Gia vat lieu HTXD'!BA127</f>
        <v>18273</v>
      </c>
      <c r="H189" s="2337">
        <f t="shared" si="30"/>
        <v>0</v>
      </c>
      <c r="I189" s="2337">
        <f t="shared" si="31"/>
        <v>0</v>
      </c>
      <c r="J189" s="2337">
        <f t="shared" si="32"/>
        <v>184557.3</v>
      </c>
      <c r="K189" s="2338">
        <f>J189/J178</f>
        <v>3.0518908667113778E-2</v>
      </c>
      <c r="L189" s="2338"/>
      <c r="M189" s="2360" t="s">
        <v>2061</v>
      </c>
      <c r="N189" s="158">
        <f>SUMIF('Don gia XD'!F828:F1124,B189,'Don gia XD'!O828:O1124)</f>
        <v>0.30299999999999999</v>
      </c>
      <c r="O189" s="98">
        <f t="shared" si="33"/>
        <v>0</v>
      </c>
      <c r="P189" s="98">
        <f t="shared" si="34"/>
        <v>5536.7190000000001</v>
      </c>
    </row>
    <row r="190" spans="1:16" ht="31.5">
      <c r="A190" s="2355">
        <v>12</v>
      </c>
      <c r="B190" s="2333" t="s">
        <v>1996</v>
      </c>
      <c r="C190" s="2334" t="s">
        <v>1997</v>
      </c>
      <c r="D190" s="2335" t="s">
        <v>1955</v>
      </c>
      <c r="E190" s="2336">
        <f>SUMIF('Don gia XD'!F828:F1124,B190,'Don gia XD'!N828:N1124)</f>
        <v>1</v>
      </c>
      <c r="F190" s="2337">
        <v>9000</v>
      </c>
      <c r="G190" s="2337">
        <f>'Gia vat lieu HTXD'!BA128</f>
        <v>9000</v>
      </c>
      <c r="H190" s="2337">
        <f t="shared" si="30"/>
        <v>0</v>
      </c>
      <c r="I190" s="2337">
        <f t="shared" si="31"/>
        <v>0</v>
      </c>
      <c r="J190" s="2337">
        <f t="shared" si="32"/>
        <v>9000</v>
      </c>
      <c r="K190" s="2338">
        <f>J190/J178</f>
        <v>1.4882650429109225E-3</v>
      </c>
      <c r="L190" s="2338"/>
      <c r="M190" s="2360" t="s">
        <v>2061</v>
      </c>
      <c r="N190" s="158">
        <f>SUMIF('Don gia XD'!F828:F1124,B190,'Don gia XD'!O828:O1124)</f>
        <v>0.05</v>
      </c>
      <c r="O190" s="98">
        <f t="shared" si="33"/>
        <v>0</v>
      </c>
      <c r="P190" s="98">
        <f t="shared" si="34"/>
        <v>450</v>
      </c>
    </row>
    <row r="191" spans="1:16">
      <c r="A191" s="2355">
        <v>13</v>
      </c>
      <c r="B191" s="2333" t="s">
        <v>2007</v>
      </c>
      <c r="C191" s="2334" t="s">
        <v>2008</v>
      </c>
      <c r="D191" s="2335" t="s">
        <v>2006</v>
      </c>
      <c r="E191" s="2336">
        <f>SUMIF('Don gia XD'!F828:F1124,B191,'Don gia XD'!N828:N1124)</f>
        <v>9</v>
      </c>
      <c r="F191" s="2337">
        <v>85091</v>
      </c>
      <c r="G191" s="2337">
        <f>'Gia vat lieu HTXD'!BA129</f>
        <v>85091</v>
      </c>
      <c r="H191" s="2337">
        <f t="shared" si="30"/>
        <v>0</v>
      </c>
      <c r="I191" s="2337">
        <f t="shared" si="31"/>
        <v>0</v>
      </c>
      <c r="J191" s="2337">
        <f t="shared" si="32"/>
        <v>765819</v>
      </c>
      <c r="K191" s="2338">
        <f>J191/J178</f>
        <v>0.12663796076633332</v>
      </c>
      <c r="L191" s="2338"/>
      <c r="M191" s="2360" t="s">
        <v>2061</v>
      </c>
      <c r="N191" s="158">
        <f>SUMIF('Don gia XD'!F828:F1124,B191,'Don gia XD'!O828:O1124)</f>
        <v>0.13500000000000001</v>
      </c>
      <c r="O191" s="98">
        <f t="shared" si="33"/>
        <v>0</v>
      </c>
      <c r="P191" s="98">
        <f t="shared" si="34"/>
        <v>11487.285</v>
      </c>
    </row>
    <row r="192" spans="1:16">
      <c r="A192" s="2355">
        <v>14</v>
      </c>
      <c r="B192" s="2333" t="s">
        <v>2019</v>
      </c>
      <c r="C192" s="2334" t="s">
        <v>2020</v>
      </c>
      <c r="D192" s="2335" t="s">
        <v>1955</v>
      </c>
      <c r="E192" s="2336">
        <f>SUMIF('Don gia XD'!F828:F1124,B192,'Don gia XD'!N828:N1124)</f>
        <v>12</v>
      </c>
      <c r="F192" s="2337">
        <v>49000</v>
      </c>
      <c r="G192" s="2337">
        <f>'Gia vat lieu HTXD'!BA130</f>
        <v>49000</v>
      </c>
      <c r="H192" s="2337">
        <f t="shared" si="30"/>
        <v>0</v>
      </c>
      <c r="I192" s="2337">
        <f t="shared" si="31"/>
        <v>0</v>
      </c>
      <c r="J192" s="2337">
        <f t="shared" si="32"/>
        <v>588000</v>
      </c>
      <c r="K192" s="2338">
        <f>J192/J178</f>
        <v>9.7233316136846937E-2</v>
      </c>
      <c r="L192" s="2338"/>
      <c r="M192" s="2360" t="s">
        <v>2061</v>
      </c>
      <c r="N192" s="158">
        <f>SUMIF('Don gia XD'!F828:F1124,B192,'Don gia XD'!O828:O1124)</f>
        <v>0.06</v>
      </c>
      <c r="O192" s="98">
        <f t="shared" si="33"/>
        <v>0</v>
      </c>
      <c r="P192" s="98">
        <f t="shared" si="34"/>
        <v>2940</v>
      </c>
    </row>
    <row r="193" spans="1:16">
      <c r="A193" s="2355">
        <v>15</v>
      </c>
      <c r="B193" s="2333" t="s">
        <v>2028</v>
      </c>
      <c r="C193" s="2334" t="s">
        <v>2029</v>
      </c>
      <c r="D193" s="2335" t="s">
        <v>2021</v>
      </c>
      <c r="E193" s="2336">
        <f>SUMIF('Don gia XD'!F828:F1124,B193,'Don gia XD'!N828:N1124)</f>
        <v>62.22</v>
      </c>
      <c r="F193" s="2337">
        <v>8091</v>
      </c>
      <c r="G193" s="2337">
        <f>'Gia vat lieu HTXD'!BA131</f>
        <v>8091</v>
      </c>
      <c r="H193" s="2337">
        <f t="shared" si="30"/>
        <v>0</v>
      </c>
      <c r="I193" s="2337">
        <f t="shared" si="31"/>
        <v>0</v>
      </c>
      <c r="J193" s="2337">
        <f t="shared" si="32"/>
        <v>503422.02</v>
      </c>
      <c r="K193" s="2338">
        <f>J193/J178</f>
        <v>8.3247266021955924E-2</v>
      </c>
      <c r="L193" s="2338"/>
      <c r="M193" s="2360" t="s">
        <v>2061</v>
      </c>
      <c r="N193" s="158">
        <f>SUMIF('Don gia XD'!F828:F1124,B193,'Don gia XD'!O828:O1124)</f>
        <v>9.3330000000000002</v>
      </c>
      <c r="O193" s="98">
        <f t="shared" si="33"/>
        <v>0</v>
      </c>
      <c r="P193" s="98">
        <f t="shared" si="34"/>
        <v>75513.303</v>
      </c>
    </row>
    <row r="194" spans="1:16">
      <c r="A194" s="2355"/>
      <c r="B194" s="2333"/>
      <c r="C194" s="2334" t="s">
        <v>226</v>
      </c>
      <c r="D194" s="2335" t="s">
        <v>1850</v>
      </c>
      <c r="E194" s="2336"/>
      <c r="F194" s="2337"/>
      <c r="G194" s="2337"/>
      <c r="H194" s="2337"/>
      <c r="I194" s="2337">
        <f>O178</f>
        <v>0</v>
      </c>
      <c r="J194" s="2337">
        <f>P178</f>
        <v>213372.5785</v>
      </c>
      <c r="K194" s="2338">
        <f>J194/J178</f>
        <v>3.5283883299701856E-2</v>
      </c>
      <c r="L194" s="2338"/>
      <c r="M194" s="2360"/>
    </row>
    <row r="195" spans="1:16">
      <c r="A195" s="2356" t="s">
        <v>195</v>
      </c>
      <c r="B195" s="2339"/>
      <c r="C195" s="2340" t="s">
        <v>225</v>
      </c>
      <c r="D195" s="2340"/>
      <c r="E195" s="2341"/>
      <c r="F195" s="2342"/>
      <c r="G195" s="2342"/>
      <c r="H195" s="2342"/>
      <c r="I195" s="2342">
        <f>SUM(I196:I196)</f>
        <v>-34320</v>
      </c>
      <c r="J195" s="2342">
        <f>SUM(J196:J196)</f>
        <v>4901325</v>
      </c>
      <c r="K195" s="2343">
        <f>SUM(K196:K196)</f>
        <v>1</v>
      </c>
      <c r="L195" s="2343">
        <f>J195/(J178+J195+J197)</f>
        <v>0.44727748822243352</v>
      </c>
      <c r="M195" s="2361"/>
      <c r="N195" s="2166"/>
      <c r="O195" s="2167">
        <f>SUM(O196:O196)</f>
        <v>0</v>
      </c>
      <c r="P195" s="2167">
        <f>SUM(P196:P196)</f>
        <v>0</v>
      </c>
    </row>
    <row r="196" spans="1:16">
      <c r="A196" s="2355">
        <v>16</v>
      </c>
      <c r="B196" s="2333" t="s">
        <v>1866</v>
      </c>
      <c r="C196" s="2334" t="s">
        <v>1867</v>
      </c>
      <c r="D196" s="2335" t="s">
        <v>1833</v>
      </c>
      <c r="E196" s="2336">
        <f>SUMIF('Don gia XD'!F828:F1124,B196,'Don gia XD'!N828:N1124)</f>
        <v>21.45</v>
      </c>
      <c r="F196" s="2337">
        <v>230100</v>
      </c>
      <c r="G196" s="2337">
        <f>'Nhan cong XD'!H68</f>
        <v>228500</v>
      </c>
      <c r="H196" s="2337">
        <f>G196-F196</f>
        <v>-1600</v>
      </c>
      <c r="I196" s="2337">
        <f>E196*H196</f>
        <v>-34320</v>
      </c>
      <c r="J196" s="2337">
        <f>E196*G196</f>
        <v>4901325</v>
      </c>
      <c r="K196" s="2338">
        <f>J196/J195</f>
        <v>1</v>
      </c>
      <c r="L196" s="2338"/>
      <c r="M196" s="2360"/>
      <c r="N196" s="158">
        <f>SUMIF('Don gia XD'!F828:F1124,B196,'Don gia XD'!O828:O1124)</f>
        <v>0</v>
      </c>
      <c r="O196" s="98">
        <f>H196*N196</f>
        <v>0</v>
      </c>
      <c r="P196" s="98">
        <f>G196*N196</f>
        <v>0</v>
      </c>
    </row>
    <row r="197" spans="1:16">
      <c r="A197" s="2356" t="s">
        <v>101</v>
      </c>
      <c r="B197" s="2339"/>
      <c r="C197" s="2340" t="s">
        <v>228</v>
      </c>
      <c r="D197" s="2340"/>
      <c r="E197" s="2341"/>
      <c r="F197" s="2342"/>
      <c r="G197" s="2342"/>
      <c r="H197" s="2342"/>
      <c r="I197" s="2342">
        <f>SUM(I198:I198)</f>
        <v>18.899999999999999</v>
      </c>
      <c r="J197" s="2342">
        <f>SUM(J198:J198)</f>
        <v>9495.36</v>
      </c>
      <c r="K197" s="2343">
        <f>SUM(K198:K198)</f>
        <v>1</v>
      </c>
      <c r="L197" s="2343">
        <f>J197/(J178+J195+J197)</f>
        <v>8.6651278390389671E-4</v>
      </c>
      <c r="M197" s="2361"/>
      <c r="N197" s="2166"/>
      <c r="O197" s="2167">
        <f>SUM(O198:O198)</f>
        <v>0</v>
      </c>
      <c r="P197" s="2167">
        <f>SUM(P198:P198)</f>
        <v>0</v>
      </c>
    </row>
    <row r="198" spans="1:16">
      <c r="A198" s="2355">
        <v>17</v>
      </c>
      <c r="B198" s="2333" t="s">
        <v>1998</v>
      </c>
      <c r="C198" s="2334" t="s">
        <v>1999</v>
      </c>
      <c r="D198" s="2335" t="s">
        <v>1836</v>
      </c>
      <c r="E198" s="2336">
        <f>SUMIF('Don gia XD'!F828:F1124,B198,'Don gia XD'!N828:N1124)</f>
        <v>0.63</v>
      </c>
      <c r="F198" s="2337">
        <v>15042</v>
      </c>
      <c r="G198" s="2423">
        <f>'Gia ca may XD'!V86</f>
        <v>15072</v>
      </c>
      <c r="H198" s="2337">
        <f>G198-F198</f>
        <v>30</v>
      </c>
      <c r="I198" s="2337">
        <f>E198*H198</f>
        <v>18.899999999999999</v>
      </c>
      <c r="J198" s="2337">
        <f>E198*G198</f>
        <v>9495.36</v>
      </c>
      <c r="K198" s="2338">
        <f>J198/J197</f>
        <v>1</v>
      </c>
      <c r="L198" s="2338"/>
      <c r="M198" s="2360"/>
      <c r="N198" s="158">
        <f>SUMIF('Don gia XD'!F828:F1124,B198,'Don gia XD'!O828:O1124)</f>
        <v>0</v>
      </c>
      <c r="O198" s="98">
        <f>H198*N198</f>
        <v>0</v>
      </c>
      <c r="P198" s="98">
        <f>G198*N198</f>
        <v>0</v>
      </c>
    </row>
    <row r="199" spans="1:16">
      <c r="A199" s="2357" t="s">
        <v>110</v>
      </c>
      <c r="B199" s="2344"/>
      <c r="C199" s="2345" t="s">
        <v>232</v>
      </c>
      <c r="D199" s="2345"/>
      <c r="E199" s="2346"/>
      <c r="F199" s="2347"/>
      <c r="G199" s="2347"/>
      <c r="H199" s="2347"/>
      <c r="I199" s="2347"/>
      <c r="J199" s="2347">
        <f>J178+J195+J197</f>
        <v>10958130.308499999</v>
      </c>
      <c r="K199" s="2338"/>
      <c r="L199" s="2338"/>
      <c r="M199" s="2360"/>
    </row>
    <row r="200" spans="1:16">
      <c r="A200" s="2358"/>
      <c r="B200" s="2348"/>
      <c r="C200" s="2349"/>
      <c r="D200" s="2350"/>
      <c r="E200" s="2351"/>
      <c r="F200" s="2352"/>
      <c r="G200" s="2352"/>
      <c r="H200" s="2352"/>
      <c r="I200" s="2352"/>
      <c r="J200" s="2352"/>
      <c r="K200" s="2353"/>
      <c r="L200" s="2353"/>
      <c r="M200" s="2362"/>
    </row>
  </sheetData>
  <autoFilter ref="A6:I6"/>
  <phoneticPr fontId="60" type="noConversion"/>
  <conditionalFormatting sqref="G7:G17 G23:G52 G58:G83 G89:G100 G106:G122 G128:G149 G155:G172 G178:G65340">
    <cfRule type="cellIs" dxfId="11" priority="3" stopIfTrue="1" operator="greaterThan">
      <formula>F7</formula>
    </cfRule>
    <cfRule type="cellIs" dxfId="10" priority="4" stopIfTrue="1" operator="lessThan">
      <formula>F7</formula>
    </cfRule>
  </conditionalFormatting>
  <dataValidations disablePrompts="1" count="4">
    <dataValidation allowBlank="1" showInputMessage="1" showErrorMessage="1" prompt="Giá gốc là giá vật liệu dùng để tính ra quyển đơn giá địa phương công bố. Có thể tra cứu trong quyển đơn giá địa phương." sqref="F5 F22 F57 F88 F105 F127 F154 F177"/>
    <dataValidation allowBlank="1" showInputMessage="1" showErrorMessage="1" prompt="Giá vật liệu tính đến hiện trường xây dựng, thi công. Bạn có thể tìm giá và gõ trực tiếp vào cột này hoặc tính ở sheet VLHT XD rồi kết nối sang đây." sqref="G5 G22 G57 G88 G105 G127 G154 G177"/>
    <dataValidation allowBlank="1" showInputMessage="1" showErrorMessage="1" prompt="Cộng tổng khối lượng các vật liệu cùng loại bên sheet DGCT XD." sqref="E5 E22 E57 E88 E105 E127 E154 E177"/>
    <dataValidation allowBlank="1" showInputMessage="1" showErrorMessage="1" prompt="Không xóa ô này" sqref="N5:O5"/>
  </dataValidations>
  <printOptions horizontalCentered="1"/>
  <pageMargins left="0.59055118110236227" right="0.19685039370078741" top="0.59055118110236227" bottom="0.59055118110236227" header="0.23622047244094491" footer="0.23622047244094491"/>
  <pageSetup paperSize="9" orientation="landscape" blackAndWhite="1" horizontalDpi="300" verticalDpi="300" r:id="rId1"/>
  <headerFooter>
    <oddFooter>&amp;C&amp;P</oddFooter>
  </headerFooter>
  <rowBreaks count="8" manualBreakCount="8">
    <brk id="17" max="16383" man="1"/>
    <brk id="52" max="16383" man="1"/>
    <brk id="83" max="16383" man="1"/>
    <brk id="100" max="16383" man="1"/>
    <brk id="122" max="16383" man="1"/>
    <brk id="149" max="16383" man="1"/>
    <brk id="172" max="16383" man="1"/>
    <brk id="200" max="16383" man="1"/>
  </rowBreaks>
  <ignoredErrors>
    <ignoredError sqref="A2" unlockedFormula="1"/>
  </ignoredErrors>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GXDTran"/>
  <dimension ref="A1:B5"/>
  <sheetViews>
    <sheetView workbookViewId="0">
      <selection activeCell="B5" sqref="B5"/>
    </sheetView>
  </sheetViews>
  <sheetFormatPr defaultColWidth="8.85546875" defaultRowHeight="15"/>
  <cols>
    <col min="1" max="2" width="90.5703125" style="1339" customWidth="1"/>
    <col min="3" max="16384" width="8.85546875" style="1339"/>
  </cols>
  <sheetData>
    <row r="1" spans="1:2" ht="22.5">
      <c r="A1" s="449" t="s">
        <v>1108</v>
      </c>
      <c r="B1" s="304"/>
    </row>
    <row r="2" spans="1:2" ht="18.75">
      <c r="A2" s="287"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304"/>
    </row>
    <row r="3" spans="1:2" ht="27" customHeight="1">
      <c r="A3" s="1019" t="str">
        <f>'Bia-Dutoan'!D43&amp;'Bia-Dutoan'!E43</f>
        <v>CÔNG TRÌNH: NHÀ 01 TẦNG, TƯỜNG CHỊU LỰC 110MM, MÁI LỢP FIBRÔXIMĂNG, KHÔNG CÓ KHU VỆ SINH KHÉP KÍN</v>
      </c>
      <c r="B3" s="1019"/>
    </row>
    <row r="4" spans="1:2">
      <c r="A4" s="1340" t="s">
        <v>1105</v>
      </c>
      <c r="B4" s="1341" t="s">
        <v>1106</v>
      </c>
    </row>
    <row r="5" spans="1:2" ht="30">
      <c r="A5" s="1342" t="s">
        <v>1107</v>
      </c>
      <c r="B5" s="1342" t="str">
        <f>gxdtran(A5,"en","vi")</f>
        <v>Quản lý thông tin xây dựng là quá trình phối hợp và phân tích dữ liệu liên quan đến các dự án xây dựng.</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FFFF00"/>
  </sheetPr>
  <dimension ref="A1:AE18"/>
  <sheetViews>
    <sheetView topLeftCell="B1" workbookViewId="0">
      <selection activeCell="D8" sqref="D8"/>
    </sheetView>
  </sheetViews>
  <sheetFormatPr defaultRowHeight="15"/>
  <cols>
    <col min="1" max="1" width="9.140625" hidden="1" customWidth="1"/>
    <col min="2" max="2" width="7.42578125" style="672" customWidth="1"/>
    <col min="3" max="3" width="8.5703125" style="672" customWidth="1"/>
    <col min="4" max="6" width="8" style="672" customWidth="1"/>
    <col min="7" max="7" width="9.140625" style="672" customWidth="1"/>
    <col min="8" max="8" width="8" style="672" customWidth="1"/>
    <col min="9" max="9" width="9.42578125" style="672" customWidth="1"/>
    <col min="10" max="10" width="6.42578125" style="672" customWidth="1"/>
    <col min="11" max="11" width="7" style="672" customWidth="1"/>
    <col min="12" max="12" width="9.140625" style="672" customWidth="1"/>
    <col min="13" max="13" width="8.85546875" style="672" customWidth="1"/>
    <col min="14" max="14" width="9.5703125" style="672" customWidth="1"/>
    <col min="15" max="15" width="10.85546875" style="672" customWidth="1"/>
    <col min="16" max="16" width="4.42578125" customWidth="1"/>
    <col min="18" max="32" width="5.5703125" customWidth="1"/>
  </cols>
  <sheetData>
    <row r="1" spans="1:31" ht="22.5">
      <c r="B1" s="257" t="s">
        <v>320</v>
      </c>
      <c r="C1" s="257"/>
      <c r="D1" s="257"/>
      <c r="E1" s="721"/>
      <c r="F1" s="721"/>
      <c r="G1" s="721"/>
      <c r="H1" s="721"/>
      <c r="I1" s="721"/>
      <c r="J1" s="721"/>
      <c r="K1" s="721"/>
      <c r="L1" s="721"/>
      <c r="M1" s="721"/>
      <c r="N1" s="721"/>
      <c r="O1" s="721"/>
      <c r="Q1" s="247" t="s">
        <v>317</v>
      </c>
      <c r="R1" s="248">
        <v>6</v>
      </c>
      <c r="S1" s="248">
        <v>8</v>
      </c>
      <c r="T1" s="248">
        <v>10</v>
      </c>
      <c r="U1" s="248">
        <v>12</v>
      </c>
      <c r="V1" s="248">
        <v>14</v>
      </c>
      <c r="W1" s="248">
        <v>16</v>
      </c>
      <c r="X1" s="248">
        <v>18</v>
      </c>
      <c r="Y1" s="248">
        <v>20</v>
      </c>
      <c r="Z1" s="248">
        <v>22</v>
      </c>
      <c r="AA1" s="248">
        <v>24</v>
      </c>
      <c r="AB1" s="248">
        <v>26</v>
      </c>
      <c r="AC1" s="248">
        <v>28</v>
      </c>
      <c r="AD1" s="248">
        <v>30</v>
      </c>
      <c r="AE1" s="214">
        <v>32</v>
      </c>
    </row>
    <row r="2" spans="1:31" ht="22.15" customHeight="1">
      <c r="B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722"/>
      <c r="D2" s="722"/>
      <c r="E2" s="722"/>
      <c r="F2" s="722"/>
      <c r="G2" s="722"/>
      <c r="H2" s="722"/>
      <c r="I2" s="722"/>
      <c r="J2" s="722"/>
      <c r="K2" s="722"/>
      <c r="L2" s="722"/>
      <c r="M2" s="722"/>
      <c r="N2" s="722"/>
      <c r="O2" s="722"/>
      <c r="Q2" s="247" t="s">
        <v>318</v>
      </c>
      <c r="R2" s="249">
        <f>ROUND(PI()*(R1/1000)^2/4*1*$R$3,3)</f>
        <v>0.222</v>
      </c>
      <c r="S2" s="249">
        <v>0.39500000000000002</v>
      </c>
      <c r="T2" s="249">
        <v>0.61699999999999999</v>
      </c>
      <c r="U2" s="249">
        <v>0.88800000000000001</v>
      </c>
      <c r="V2" s="249">
        <v>1.208</v>
      </c>
      <c r="W2" s="249">
        <v>1.5780000000000001</v>
      </c>
      <c r="X2" s="249">
        <v>1.998</v>
      </c>
      <c r="Y2" s="249">
        <v>2.4660000000000002</v>
      </c>
      <c r="Z2" s="249">
        <v>2.984</v>
      </c>
      <c r="AA2" s="249">
        <v>3.5510000000000002</v>
      </c>
      <c r="AB2" s="249">
        <v>4.1680000000000001</v>
      </c>
      <c r="AC2" s="249">
        <v>4.8339999999999996</v>
      </c>
      <c r="AD2" s="249">
        <v>5.5490000000000004</v>
      </c>
      <c r="AE2" s="215">
        <f>ROUND(PI()*(AE1/1000)^2/4*1*$R$3,3)</f>
        <v>6.3129999999999997</v>
      </c>
    </row>
    <row r="3" spans="1:31" ht="22.15" customHeight="1">
      <c r="B3" s="1019" t="str">
        <f>'Bia-Dutoan'!D43&amp;'Bia-Dutoan'!E43</f>
        <v>CÔNG TRÌNH: NHÀ 01 TẦNG, TƯỜNG CHỊU LỰC 110MM, MÁI LỢP FIBRÔXIMĂNG, KHÔNG CÓ KHU VỆ SINH KHÉP KÍN</v>
      </c>
      <c r="C3" s="722"/>
      <c r="D3" s="722"/>
      <c r="E3" s="722"/>
      <c r="F3" s="722"/>
      <c r="G3" s="722"/>
      <c r="H3" s="722"/>
      <c r="I3" s="722"/>
      <c r="J3" s="722"/>
      <c r="K3" s="722"/>
      <c r="L3" s="722"/>
      <c r="M3" s="722"/>
      <c r="N3" s="722"/>
      <c r="O3" s="722"/>
      <c r="R3" s="250">
        <v>7850</v>
      </c>
      <c r="S3" s="250" t="s">
        <v>319</v>
      </c>
    </row>
    <row r="4" spans="1:31">
      <c r="B4" s="723"/>
      <c r="C4" s="723"/>
      <c r="D4" s="723"/>
      <c r="E4" s="723"/>
      <c r="F4" s="723"/>
      <c r="G4" s="723"/>
      <c r="H4" s="723"/>
      <c r="I4" s="723"/>
      <c r="J4" s="723"/>
      <c r="K4" s="723"/>
      <c r="L4" s="723"/>
      <c r="M4" s="723"/>
      <c r="N4" s="723"/>
      <c r="O4" s="723"/>
    </row>
    <row r="5" spans="1:31" ht="30" customHeight="1">
      <c r="B5" s="2542" t="s">
        <v>541</v>
      </c>
      <c r="C5" s="2542" t="s">
        <v>691</v>
      </c>
      <c r="D5" s="2546" t="s">
        <v>540</v>
      </c>
      <c r="E5" s="2547"/>
      <c r="F5" s="2548"/>
      <c r="G5" s="2542" t="s">
        <v>692</v>
      </c>
      <c r="H5" s="2542" t="s">
        <v>693</v>
      </c>
      <c r="I5" s="2542" t="s">
        <v>695</v>
      </c>
      <c r="J5" s="2542" t="s">
        <v>694</v>
      </c>
      <c r="K5" s="2544" t="s">
        <v>696</v>
      </c>
      <c r="L5" s="2545"/>
      <c r="M5" s="2544" t="s">
        <v>697</v>
      </c>
      <c r="N5" s="2545"/>
      <c r="O5" s="2542" t="s">
        <v>698</v>
      </c>
    </row>
    <row r="6" spans="1:31" ht="31.5">
      <c r="B6" s="2543"/>
      <c r="C6" s="2543"/>
      <c r="D6" s="2549"/>
      <c r="E6" s="2550"/>
      <c r="F6" s="2551"/>
      <c r="G6" s="2543"/>
      <c r="H6" s="2543"/>
      <c r="I6" s="2543"/>
      <c r="J6" s="2543"/>
      <c r="K6" s="1022" t="s">
        <v>315</v>
      </c>
      <c r="L6" s="1022" t="s">
        <v>316</v>
      </c>
      <c r="M6" s="1022" t="s">
        <v>315</v>
      </c>
      <c r="N6" s="1022" t="s">
        <v>316</v>
      </c>
      <c r="O6" s="2543"/>
      <c r="U6" s="155"/>
    </row>
    <row r="7" spans="1:31" s="645" customFormat="1" ht="15.75">
      <c r="B7" s="673"/>
      <c r="C7" s="674"/>
      <c r="D7" s="675"/>
      <c r="E7" s="676"/>
      <c r="F7" s="677"/>
      <c r="G7" s="678"/>
      <c r="H7" s="679"/>
      <c r="I7" s="679"/>
      <c r="J7" s="679"/>
      <c r="K7" s="679"/>
      <c r="L7" s="679"/>
      <c r="M7" s="679"/>
      <c r="N7" s="679"/>
      <c r="O7" s="679"/>
      <c r="U7" s="284"/>
    </row>
    <row r="8" spans="1:31" s="645" customFormat="1" ht="15.75">
      <c r="B8" s="680" t="s">
        <v>321</v>
      </c>
      <c r="C8" s="681">
        <v>1</v>
      </c>
      <c r="D8" s="681"/>
      <c r="E8" s="682"/>
      <c r="F8" s="683"/>
      <c r="G8" s="683"/>
      <c r="H8" s="276"/>
      <c r="I8" s="277">
        <v>6</v>
      </c>
      <c r="J8" s="277">
        <v>4</v>
      </c>
      <c r="K8" s="277">
        <v>4</v>
      </c>
      <c r="L8" s="277">
        <f>(D8+E8+F8+G8*H8)/1000</f>
        <v>0</v>
      </c>
      <c r="M8" s="277">
        <f>J8*K8</f>
        <v>16</v>
      </c>
      <c r="N8" s="684">
        <f>L8*M8</f>
        <v>0</v>
      </c>
      <c r="O8" s="685">
        <f>ROUND(HLOOKUP(I8,$R$1:$AW$2,2,0)*N8,0)</f>
        <v>0</v>
      </c>
    </row>
    <row r="9" spans="1:31" s="645" customFormat="1" ht="15.75">
      <c r="B9" s="686"/>
      <c r="C9" s="681">
        <v>2</v>
      </c>
      <c r="D9" s="681"/>
      <c r="E9" s="682"/>
      <c r="F9" s="683"/>
      <c r="G9" s="683"/>
      <c r="H9" s="276"/>
      <c r="I9" s="277">
        <v>18</v>
      </c>
      <c r="J9" s="277">
        <f>J8</f>
        <v>4</v>
      </c>
      <c r="K9" s="277">
        <v>4</v>
      </c>
      <c r="L9" s="277">
        <f>(D9+E9+F9+G9*H9)/1000</f>
        <v>0</v>
      </c>
      <c r="M9" s="277">
        <f>J9*K9</f>
        <v>16</v>
      </c>
      <c r="N9" s="684">
        <f>L9*M9</f>
        <v>0</v>
      </c>
      <c r="O9" s="685">
        <f>ROUND(HLOOKUP(I9,$R$1:$AW$2,2,0)*N9,0)</f>
        <v>0</v>
      </c>
    </row>
    <row r="10" spans="1:31" s="645" customFormat="1" ht="15.75">
      <c r="B10" s="686"/>
      <c r="C10" s="681">
        <v>3</v>
      </c>
      <c r="D10" s="681"/>
      <c r="E10" s="682"/>
      <c r="F10" s="683"/>
      <c r="G10" s="683"/>
      <c r="H10" s="276"/>
      <c r="I10" s="277">
        <v>22</v>
      </c>
      <c r="J10" s="277">
        <f>J9</f>
        <v>4</v>
      </c>
      <c r="K10" s="277">
        <v>2</v>
      </c>
      <c r="L10" s="277">
        <f>(D10+E10+F10+G10*H10)/1000</f>
        <v>0</v>
      </c>
      <c r="M10" s="277">
        <f>J10*K10</f>
        <v>8</v>
      </c>
      <c r="N10" s="684">
        <f>L10*M10</f>
        <v>0</v>
      </c>
      <c r="O10" s="685">
        <f>ROUND(HLOOKUP(I10,$R$1:$AW$2,2,0)*N10,0)</f>
        <v>0</v>
      </c>
    </row>
    <row r="11" spans="1:31" s="645" customFormat="1" ht="15.75">
      <c r="B11" s="293"/>
      <c r="C11" s="687" t="s">
        <v>156</v>
      </c>
      <c r="D11" s="687"/>
      <c r="E11" s="688"/>
      <c r="F11" s="689"/>
      <c r="G11" s="689"/>
      <c r="H11" s="293"/>
      <c r="I11" s="279"/>
      <c r="J11" s="279"/>
      <c r="K11" s="279"/>
      <c r="L11" s="279"/>
      <c r="M11" s="279"/>
      <c r="N11" s="690"/>
      <c r="O11" s="691"/>
    </row>
    <row r="12" spans="1:31" s="645" customFormat="1" ht="15.75">
      <c r="B12" s="673"/>
      <c r="C12" s="692"/>
      <c r="D12" s="693"/>
      <c r="E12" s="694"/>
      <c r="F12" s="695"/>
      <c r="G12" s="696"/>
      <c r="H12" s="697"/>
      <c r="I12" s="724">
        <v>10</v>
      </c>
      <c r="J12" s="698"/>
      <c r="K12" s="699"/>
      <c r="L12" s="699"/>
      <c r="M12" s="699"/>
      <c r="N12" s="699"/>
      <c r="O12" s="700">
        <f>SUMIF(I8:I11,"&lt;11",O8:O11)</f>
        <v>0</v>
      </c>
    </row>
    <row r="13" spans="1:31" s="645" customFormat="1" ht="15.75">
      <c r="B13" s="686"/>
      <c r="C13" s="701"/>
      <c r="D13" s="702"/>
      <c r="E13" s="703" t="s">
        <v>232</v>
      </c>
      <c r="F13" s="704"/>
      <c r="G13" s="705"/>
      <c r="H13" s="706"/>
      <c r="I13" s="725">
        <v>18</v>
      </c>
      <c r="J13" s="707"/>
      <c r="K13" s="706"/>
      <c r="L13" s="706"/>
      <c r="M13" s="706"/>
      <c r="N13" s="706"/>
      <c r="O13" s="708">
        <f>SUM(O8:O11)-O12-O14</f>
        <v>0</v>
      </c>
    </row>
    <row r="14" spans="1:31" s="645" customFormat="1" ht="15.75">
      <c r="B14" s="709"/>
      <c r="C14" s="710"/>
      <c r="D14" s="711"/>
      <c r="E14" s="712"/>
      <c r="F14" s="713"/>
      <c r="G14" s="714"/>
      <c r="H14" s="715"/>
      <c r="I14" s="726">
        <v>18</v>
      </c>
      <c r="J14" s="716"/>
      <c r="K14" s="715"/>
      <c r="L14" s="715"/>
      <c r="M14" s="715"/>
      <c r="N14" s="715"/>
      <c r="O14" s="717">
        <f>SUMIF(I8:I11,"&gt;18",O8:O11)</f>
        <v>0</v>
      </c>
      <c r="Q14" s="718"/>
    </row>
    <row r="15" spans="1:31" s="645" customFormat="1" ht="15.75">
      <c r="B15" s="719"/>
    </row>
    <row r="16" spans="1:31" s="645" customFormat="1" ht="15.75"/>
    <row r="17" spans="2:2" s="645" customFormat="1" ht="15.75"/>
    <row r="18" spans="2:2" s="645" customFormat="1" ht="15.75">
      <c r="B18" s="720"/>
    </row>
  </sheetData>
  <mergeCells count="10">
    <mergeCell ref="H5:H6"/>
    <mergeCell ref="K5:L5"/>
    <mergeCell ref="M5:N5"/>
    <mergeCell ref="O5:O6"/>
    <mergeCell ref="B5:B6"/>
    <mergeCell ref="C5:C6"/>
    <mergeCell ref="I5:I6"/>
    <mergeCell ref="J5:J6"/>
    <mergeCell ref="D5:F6"/>
    <mergeCell ref="G5:G6"/>
  </mergeCells>
  <phoneticPr fontId="88" type="noConversion"/>
  <dataValidations count="4">
    <dataValidation allowBlank="1" showInputMessage="1" showErrorMessage="1" prompt="Sao chép sang bên phải để thêm đường kính thép." sqref="AE1:AE2"/>
    <dataValidation allowBlank="1" showInputMessage="1" showErrorMessage="1" prompt="Gõ C để tạo thống kê cốt thép cho cấu kiện mới." sqref="B5:B6 B15"/>
    <dataValidation allowBlank="1" showInputMessage="1" showErrorMessage="1" prompt="Gõ số hiệu thanh vào đây để tạo dòng thống kê cho thanh thép." sqref="C11:D11"/>
    <dataValidation allowBlank="1" showInputMessage="1" showErrorMessage="1" prompt="Nhập tên cấu kiện" sqref="G7:H7"/>
  </dataValidations>
  <printOptions horizontalCentered="1"/>
  <pageMargins left="0.75" right="0" top="0.5" bottom="0.25" header="0.25" footer="0.25"/>
  <pageSetup paperSize="9" scale="82" orientation="portrait" blackAndWhite="1" verticalDpi="300" r:id="rId1"/>
  <ignoredErrors>
    <ignoredError sqref="B2:B3" unlockedFormula="1"/>
  </ignoredErrors>
  <legacy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PLVXD">
    <tabColor rgb="FFFFFF00"/>
  </sheetPr>
  <dimension ref="A1:H15"/>
  <sheetViews>
    <sheetView showZeros="0" zoomScaleSheetLayoutView="100" workbookViewId="0">
      <selection activeCell="B7" sqref="B7"/>
    </sheetView>
  </sheetViews>
  <sheetFormatPr defaultRowHeight="15.75"/>
  <cols>
    <col min="1" max="1" width="5" style="164" customWidth="1"/>
    <col min="2" max="2" width="8.5703125" style="300" customWidth="1"/>
    <col min="3" max="3" width="8.5703125" style="159" customWidth="1"/>
    <col min="4" max="4" width="23.42578125" style="165" customWidth="1"/>
    <col min="5" max="5" width="8.42578125" style="164" customWidth="1"/>
    <col min="6" max="6" width="11" style="159" customWidth="1"/>
    <col min="7" max="7" width="10.42578125" style="605" customWidth="1"/>
    <col min="8" max="8" width="11.5703125" style="605" customWidth="1"/>
  </cols>
  <sheetData>
    <row r="1" spans="1:8" ht="22.5">
      <c r="A1" s="256" t="s">
        <v>530</v>
      </c>
      <c r="B1" s="102"/>
      <c r="C1" s="102"/>
      <c r="D1" s="602"/>
      <c r="E1" s="102"/>
      <c r="F1" s="102"/>
      <c r="G1" s="260"/>
      <c r="H1" s="260"/>
    </row>
    <row r="2" spans="1:8"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6"/>
      <c r="C2" s="94"/>
      <c r="D2" s="94"/>
      <c r="E2" s="103"/>
      <c r="F2" s="103"/>
      <c r="G2" s="48"/>
      <c r="H2" s="48"/>
    </row>
    <row r="3" spans="1:8" ht="22.15" customHeight="1">
      <c r="A3" s="1019" t="str">
        <f>'Bia-Dutoan'!D43&amp;'Bia-Dutoan'!E43</f>
        <v>CÔNG TRÌNH: NHÀ 01 TẦNG, TƯỜNG CHỊU LỰC 110MM, MÁI LỢP FIBRÔXIMĂNG, KHÔNG CÓ KHU VỆ SINH KHÉP KÍN</v>
      </c>
      <c r="B3" s="113"/>
      <c r="C3" s="113"/>
      <c r="D3" s="603"/>
      <c r="E3" s="113"/>
      <c r="F3" s="113"/>
      <c r="G3" s="252"/>
      <c r="H3" s="252"/>
    </row>
    <row r="4" spans="1:8" ht="15">
      <c r="A4" s="264"/>
      <c r="B4" s="600"/>
      <c r="C4"/>
      <c r="D4" s="599"/>
      <c r="E4" s="264"/>
      <c r="F4"/>
      <c r="G4" s="604"/>
      <c r="H4" s="162" t="s">
        <v>310</v>
      </c>
    </row>
    <row r="5" spans="1:8" ht="31.5">
      <c r="A5" s="1047" t="s">
        <v>196</v>
      </c>
      <c r="B5" s="1047" t="s">
        <v>145</v>
      </c>
      <c r="C5" s="1047" t="s">
        <v>135</v>
      </c>
      <c r="D5" s="1047" t="s">
        <v>141</v>
      </c>
      <c r="E5" s="1047" t="s">
        <v>122</v>
      </c>
      <c r="F5" s="1047" t="s">
        <v>131</v>
      </c>
      <c r="G5" s="1047" t="s">
        <v>123</v>
      </c>
      <c r="H5" s="1047" t="s">
        <v>124</v>
      </c>
    </row>
    <row r="6" spans="1:8" s="462" customFormat="1" ht="12.75">
      <c r="A6" s="437" t="s">
        <v>273</v>
      </c>
      <c r="B6" s="437" t="s">
        <v>276</v>
      </c>
      <c r="C6" s="437" t="s">
        <v>277</v>
      </c>
      <c r="D6" s="437" t="s">
        <v>278</v>
      </c>
      <c r="E6" s="437" t="s">
        <v>279</v>
      </c>
      <c r="F6" s="437" t="s">
        <v>280</v>
      </c>
      <c r="G6" s="437" t="s">
        <v>282</v>
      </c>
      <c r="H6" s="490" t="s">
        <v>302</v>
      </c>
    </row>
    <row r="7" spans="1:8">
      <c r="B7" s="601"/>
      <c r="C7" s="164"/>
      <c r="F7" s="166"/>
    </row>
    <row r="8" spans="1:8">
      <c r="C8" s="164"/>
      <c r="F8" s="166"/>
    </row>
    <row r="9" spans="1:8">
      <c r="C9" s="164"/>
      <c r="F9" s="166"/>
    </row>
    <row r="10" spans="1:8">
      <c r="C10" s="164"/>
      <c r="F10" s="166"/>
    </row>
    <row r="11" spans="1:8">
      <c r="C11" s="164"/>
      <c r="F11" s="166"/>
    </row>
    <row r="12" spans="1:8">
      <c r="C12" s="164"/>
      <c r="F12" s="166"/>
    </row>
    <row r="13" spans="1:8">
      <c r="C13" s="164"/>
      <c r="F13" s="166"/>
    </row>
    <row r="14" spans="1:8">
      <c r="C14" s="164"/>
      <c r="F14" s="166"/>
    </row>
    <row r="15" spans="1:8">
      <c r="F15" s="166"/>
    </row>
  </sheetData>
  <phoneticPr fontId="60" type="noConversion"/>
  <dataValidations count="1">
    <dataValidation allowBlank="1" showInputMessage="1" showErrorMessage="1" sqref="B6"/>
  </dataValidations>
  <printOptions horizontalCentered="1"/>
  <pageMargins left="0.75" right="0.25" top="0.75" bottom="0.5" header="0.25" footer="0.25"/>
  <pageSetup paperSize="9" orientation="portrait" blackAndWhite="1" horizontalDpi="300" verticalDpi="300" r:id="rId1"/>
  <headerFooter>
    <oddFooter>&amp;C&amp;P</oddFooter>
  </headerFooter>
  <ignoredErrors>
    <ignoredError sqref="A2:A3" unlockedFormula="1"/>
  </ignoredError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VLHTXD">
    <tabColor rgb="FFFFFF00"/>
  </sheetPr>
  <dimension ref="A1:BA132"/>
  <sheetViews>
    <sheetView showZeros="0" zoomScaleNormal="100" zoomScaleSheetLayoutView="100" workbookViewId="0">
      <pane xSplit="3" ySplit="7" topLeftCell="K8" activePane="bottomRight" state="frozen"/>
      <selection activeCell="F1" sqref="F1:F1048576"/>
      <selection pane="topRight" activeCell="F1" sqref="F1:F1048576"/>
      <selection pane="bottomLeft" activeCell="F1" sqref="F1:F1048576"/>
      <selection pane="bottomRight" activeCell="A111" sqref="A111:BA116"/>
    </sheetView>
  </sheetViews>
  <sheetFormatPr defaultColWidth="9" defaultRowHeight="15.75"/>
  <cols>
    <col min="1" max="1" width="4.85546875" style="167" customWidth="1"/>
    <col min="2" max="2" width="8.5703125" style="790" customWidth="1"/>
    <col min="3" max="3" width="19.42578125" style="1242" customWidth="1"/>
    <col min="4" max="4" width="11.42578125" style="169" hidden="1" customWidth="1"/>
    <col min="5" max="5" width="10.5703125" style="1245" hidden="1" customWidth="1"/>
    <col min="6" max="6" width="10.5703125" style="169" hidden="1" customWidth="1"/>
    <col min="7" max="7" width="8.42578125" style="169" hidden="1" customWidth="1"/>
    <col min="8" max="8" width="15.5703125" style="1229" hidden="1" customWidth="1"/>
    <col min="9" max="10" width="19.140625" style="167" hidden="1" customWidth="1"/>
    <col min="11" max="11" width="21.42578125" style="1232" customWidth="1"/>
    <col min="12" max="12" width="10.140625" style="1232" hidden="1" customWidth="1"/>
    <col min="13" max="13" width="9.42578125" style="1230" hidden="1" customWidth="1"/>
    <col min="14" max="14" width="10.85546875" style="1230" hidden="1" customWidth="1"/>
    <col min="15" max="15" width="11.42578125" style="1233" hidden="1" customWidth="1"/>
    <col min="16" max="16" width="10" style="1230" hidden="1" customWidth="1"/>
    <col min="17" max="18" width="9.42578125" style="1230" hidden="1" customWidth="1"/>
    <col min="19" max="19" width="9" style="1230" hidden="1" customWidth="1"/>
    <col min="20" max="20" width="10" style="1231" hidden="1" customWidth="1"/>
    <col min="21" max="22" width="10.42578125" style="1231" hidden="1" customWidth="1"/>
    <col min="23" max="23" width="10" style="1230" hidden="1" customWidth="1"/>
    <col min="24" max="24" width="10" style="1240" hidden="1" customWidth="1"/>
    <col min="25" max="25" width="12.42578125" style="269" hidden="1" customWidth="1"/>
    <col min="26" max="26" width="14.42578125" style="269" hidden="1" customWidth="1"/>
    <col min="27" max="27" width="15.5703125" style="1232" customWidth="1"/>
    <col min="28" max="28" width="15.5703125" style="1240" hidden="1" customWidth="1"/>
    <col min="29" max="29" width="8.42578125" style="169" hidden="1" customWidth="1"/>
    <col min="30" max="30" width="10.5703125" style="1245" hidden="1" customWidth="1"/>
    <col min="31" max="31" width="13.140625" style="169" hidden="1" customWidth="1"/>
    <col min="32" max="32" width="8.42578125" style="169" hidden="1" customWidth="1"/>
    <col min="33" max="33" width="12.85546875" style="269" hidden="1" customWidth="1"/>
    <col min="34" max="34" width="8.42578125" style="271" hidden="1" customWidth="1"/>
    <col min="35" max="35" width="10" style="269" hidden="1" customWidth="1"/>
    <col min="36" max="36" width="8" style="1237" hidden="1" customWidth="1"/>
    <col min="37" max="37" width="10" style="1233" hidden="1" customWidth="1"/>
    <col min="38" max="38" width="14.42578125" style="830" hidden="1" customWidth="1"/>
    <col min="39" max="39" width="10" style="1239" hidden="1" customWidth="1"/>
    <col min="40" max="40" width="11.5703125" style="1232" hidden="1" customWidth="1"/>
    <col min="41" max="41" width="9" style="1239" hidden="1" customWidth="1"/>
    <col min="42" max="42" width="14.42578125" style="269" hidden="1" customWidth="1"/>
    <col min="43" max="43" width="9" style="1239" hidden="1" customWidth="1"/>
    <col min="44" max="44" width="12.140625" style="269" hidden="1" customWidth="1"/>
    <col min="45" max="45" width="9" style="1237" hidden="1" customWidth="1"/>
    <col min="46" max="46" width="12" style="269" hidden="1" customWidth="1"/>
    <col min="47" max="47" width="10.42578125" style="1237" hidden="1" customWidth="1"/>
    <col min="48" max="48" width="10.42578125" style="269" hidden="1" customWidth="1"/>
    <col min="49" max="49" width="11.42578125" style="269" customWidth="1"/>
    <col min="50" max="50" width="12.5703125" style="269" customWidth="1"/>
    <col min="51" max="51" width="13.140625" style="1235" hidden="1" customWidth="1"/>
    <col min="52" max="52" width="16.42578125" style="269" customWidth="1"/>
    <col min="53" max="53" width="17.42578125" style="269" customWidth="1"/>
    <col min="54" max="16384" width="9" style="17"/>
  </cols>
  <sheetData>
    <row r="1" spans="1:53" ht="30.75" customHeight="1">
      <c r="A1" s="1246" t="s">
        <v>182</v>
      </c>
      <c r="B1" s="1247"/>
      <c r="C1" s="1248"/>
      <c r="D1" s="1248"/>
      <c r="E1" s="1248"/>
      <c r="F1" s="1248"/>
      <c r="G1" s="1248"/>
      <c r="H1" s="1249"/>
      <c r="I1" s="1249"/>
      <c r="J1" s="1249"/>
      <c r="K1" s="1249"/>
      <c r="L1" s="1249"/>
      <c r="M1" s="1249"/>
      <c r="N1" s="1249"/>
      <c r="O1" s="1249"/>
      <c r="P1" s="1249"/>
      <c r="Q1" s="1249"/>
      <c r="R1" s="1249"/>
      <c r="S1" s="1249"/>
      <c r="T1" s="1249"/>
      <c r="U1" s="1249"/>
      <c r="V1" s="1249"/>
      <c r="W1" s="101"/>
      <c r="X1" s="1249"/>
      <c r="Y1" s="1249"/>
      <c r="Z1" s="1249"/>
      <c r="AA1" s="1249"/>
      <c r="AB1" s="1249"/>
      <c r="AC1" s="1248"/>
      <c r="AD1" s="1248"/>
      <c r="AE1" s="1248"/>
      <c r="AF1" s="1248"/>
      <c r="AG1" s="1249"/>
      <c r="AH1" s="1249"/>
      <c r="AI1" s="1249"/>
      <c r="AJ1" s="1249"/>
      <c r="AK1" s="1249"/>
      <c r="AM1" s="1249"/>
      <c r="AN1" s="1249"/>
      <c r="AO1" s="1249"/>
      <c r="AP1" s="1249"/>
      <c r="AQ1" s="1249"/>
      <c r="AR1" s="1249"/>
      <c r="AS1" s="1249"/>
      <c r="AT1" s="1249"/>
      <c r="AU1" s="1249"/>
      <c r="AV1" s="1249"/>
      <c r="AW1" s="1249"/>
      <c r="AX1" s="1249"/>
      <c r="AY1" s="1249"/>
      <c r="AZ1" s="1249"/>
      <c r="BA1" s="1249"/>
    </row>
    <row r="2" spans="1:53" ht="22.15" customHeight="1">
      <c r="A2" s="1250"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247"/>
      <c r="C2" s="1251"/>
      <c r="D2" s="1251"/>
      <c r="E2" s="1251"/>
      <c r="F2" s="1251"/>
      <c r="G2" s="1251"/>
      <c r="H2" s="1127"/>
      <c r="I2" s="1127"/>
      <c r="J2" s="1127"/>
      <c r="K2" s="1127"/>
      <c r="L2" s="1127"/>
      <c r="M2" s="1127"/>
      <c r="N2" s="1127"/>
      <c r="O2" s="1127"/>
      <c r="P2" s="1127"/>
      <c r="Q2" s="1127"/>
      <c r="R2" s="1127"/>
      <c r="S2" s="1127"/>
      <c r="T2" s="1127"/>
      <c r="U2" s="1127"/>
      <c r="V2" s="1127"/>
      <c r="W2" s="6"/>
      <c r="X2" s="1127"/>
      <c r="Y2" s="1127"/>
      <c r="Z2" s="1127"/>
      <c r="AA2" s="1127"/>
      <c r="AB2" s="1127"/>
      <c r="AC2" s="1251"/>
      <c r="AD2" s="1251"/>
      <c r="AE2" s="1251"/>
      <c r="AF2" s="1251"/>
      <c r="AG2" s="1127"/>
      <c r="AH2" s="1127"/>
      <c r="AI2" s="1127"/>
      <c r="AJ2" s="1127"/>
      <c r="AK2" s="1127"/>
      <c r="AL2" s="1253"/>
      <c r="AM2" s="1127"/>
      <c r="AN2" s="1127"/>
      <c r="AO2" s="1249"/>
      <c r="AP2" s="1249"/>
      <c r="AQ2" s="1249"/>
      <c r="AR2" s="1249"/>
      <c r="AS2" s="1249"/>
      <c r="AT2" s="1249"/>
      <c r="AU2" s="1249"/>
      <c r="AV2" s="1249"/>
      <c r="AW2" s="1249"/>
      <c r="AX2" s="1249"/>
      <c r="AY2" s="1249"/>
      <c r="AZ2" s="1249"/>
      <c r="BA2" s="1249"/>
    </row>
    <row r="3" spans="1:53" ht="22.15" customHeight="1">
      <c r="A3" s="1250" t="str">
        <f>'TH vat tu XD'!A3</f>
        <v>HẠNG MỤC: CÔNG TÁC ĐẤT</v>
      </c>
      <c r="B3" s="1247"/>
      <c r="C3" s="1251"/>
      <c r="D3" s="1251"/>
      <c r="E3" s="1251"/>
      <c r="F3" s="1251"/>
      <c r="G3" s="1251"/>
      <c r="H3" s="1127"/>
      <c r="I3" s="1127"/>
      <c r="J3" s="1127"/>
      <c r="K3" s="1127"/>
      <c r="L3" s="1127"/>
      <c r="M3" s="1127"/>
      <c r="N3" s="1127"/>
      <c r="O3" s="1127"/>
      <c r="P3" s="1127"/>
      <c r="Q3" s="1127"/>
      <c r="R3" s="1127"/>
      <c r="S3" s="1127"/>
      <c r="T3" s="1127"/>
      <c r="U3" s="1127"/>
      <c r="V3" s="1127"/>
      <c r="W3" s="6"/>
      <c r="X3" s="1127"/>
      <c r="Y3" s="1127"/>
      <c r="Z3" s="1127"/>
      <c r="AA3" s="1127"/>
      <c r="AB3" s="1127"/>
      <c r="AC3" s="1251"/>
      <c r="AD3" s="1251"/>
      <c r="AE3" s="1251"/>
      <c r="AF3" s="1251"/>
      <c r="AG3" s="1127"/>
      <c r="AH3" s="1127"/>
      <c r="AI3" s="1127"/>
      <c r="AJ3" s="1127"/>
      <c r="AK3" s="1127"/>
      <c r="AL3" s="1253"/>
      <c r="AM3" s="1127"/>
      <c r="AN3" s="1127"/>
      <c r="AO3" s="1249"/>
      <c r="AP3" s="1249"/>
      <c r="AQ3" s="1249"/>
      <c r="AR3" s="1249"/>
      <c r="AS3" s="1249"/>
      <c r="AT3" s="1249"/>
      <c r="AU3" s="1249"/>
      <c r="AV3" s="1249"/>
      <c r="AW3" s="1249"/>
      <c r="AX3" s="1249"/>
      <c r="AY3" s="1249"/>
      <c r="AZ3" s="1249"/>
      <c r="BA3" s="1249"/>
    </row>
    <row r="4" spans="1:53" s="4" customFormat="1" ht="13.5" customHeight="1">
      <c r="A4" s="649"/>
      <c r="B4" s="1228"/>
      <c r="C4" s="1241"/>
      <c r="D4" s="1359" t="s">
        <v>897</v>
      </c>
      <c r="E4" s="1359"/>
      <c r="F4" s="1359"/>
      <c r="G4" s="1359"/>
      <c r="H4" s="1359"/>
      <c r="I4" s="1359"/>
      <c r="J4" s="1359"/>
      <c r="K4" s="1359"/>
      <c r="L4" s="1359"/>
      <c r="M4" s="1359"/>
      <c r="N4" s="1359"/>
      <c r="O4" s="1359"/>
      <c r="P4" s="1359"/>
      <c r="Q4" s="1359"/>
      <c r="R4" s="1359"/>
      <c r="S4" s="1359"/>
      <c r="T4" s="1359"/>
      <c r="U4" s="1359"/>
      <c r="V4" s="1359"/>
      <c r="W4" s="1359"/>
      <c r="X4" s="1359"/>
      <c r="Y4" s="1359"/>
      <c r="Z4" s="1359"/>
      <c r="AA4" s="1359"/>
      <c r="AB4" s="1360" t="s">
        <v>898</v>
      </c>
      <c r="AC4" s="1361"/>
      <c r="AD4" s="1361"/>
      <c r="AE4" s="1361"/>
      <c r="AF4" s="1361"/>
      <c r="AG4" s="1361"/>
      <c r="AH4" s="1361"/>
      <c r="AI4" s="1361"/>
      <c r="AJ4" s="1361"/>
      <c r="AK4" s="1361"/>
      <c r="AL4" s="1361"/>
      <c r="AM4" s="1361"/>
      <c r="AN4" s="1361"/>
      <c r="AO4" s="1361"/>
      <c r="AP4" s="1361"/>
      <c r="AQ4" s="1361"/>
      <c r="AR4" s="1361"/>
      <c r="AS4" s="1361"/>
      <c r="AT4" s="1361"/>
      <c r="AU4" s="1362"/>
      <c r="AV4" s="1361"/>
      <c r="AW4" s="1361"/>
      <c r="AX4" s="1363"/>
      <c r="AY4" s="1234"/>
      <c r="AZ4" s="1243"/>
      <c r="BA4" s="1243"/>
    </row>
    <row r="5" spans="1:53" s="97" customFormat="1" ht="47.25" customHeight="1">
      <c r="A5" s="2542" t="s">
        <v>196</v>
      </c>
      <c r="B5" s="2542" t="s">
        <v>135</v>
      </c>
      <c r="C5" s="2542" t="s">
        <v>141</v>
      </c>
      <c r="D5" s="2542" t="s">
        <v>1166</v>
      </c>
      <c r="E5" s="2554" t="s">
        <v>142</v>
      </c>
      <c r="F5" s="2562" t="s">
        <v>1167</v>
      </c>
      <c r="G5" s="2562" t="s">
        <v>928</v>
      </c>
      <c r="H5" s="2576" t="s">
        <v>1169</v>
      </c>
      <c r="I5" s="2562" t="s">
        <v>867</v>
      </c>
      <c r="J5" s="2562" t="s">
        <v>20</v>
      </c>
      <c r="K5" s="2552" t="s">
        <v>1007</v>
      </c>
      <c r="L5" s="2562" t="s">
        <v>868</v>
      </c>
      <c r="M5" s="2562" t="s">
        <v>143</v>
      </c>
      <c r="N5" s="2562" t="s">
        <v>144</v>
      </c>
      <c r="O5" s="2560" t="s">
        <v>869</v>
      </c>
      <c r="P5" s="2573" t="s">
        <v>870</v>
      </c>
      <c r="Q5" s="2574"/>
      <c r="R5" s="2574"/>
      <c r="S5" s="2575"/>
      <c r="T5" s="2570" t="s">
        <v>871</v>
      </c>
      <c r="U5" s="2571"/>
      <c r="V5" s="2571"/>
      <c r="W5" s="2572"/>
      <c r="X5" s="2562" t="s">
        <v>900</v>
      </c>
      <c r="Y5" s="2552" t="s">
        <v>872</v>
      </c>
      <c r="Z5" s="2562" t="s">
        <v>873</v>
      </c>
      <c r="AA5" s="2562" t="s">
        <v>622</v>
      </c>
      <c r="AB5" s="2566" t="s">
        <v>1170</v>
      </c>
      <c r="AC5" s="2562" t="s">
        <v>1166</v>
      </c>
      <c r="AD5" s="2554" t="s">
        <v>142</v>
      </c>
      <c r="AE5" s="2562" t="s">
        <v>1168</v>
      </c>
      <c r="AF5" s="2562" t="s">
        <v>928</v>
      </c>
      <c r="AG5" s="2562" t="s">
        <v>874</v>
      </c>
      <c r="AH5" s="2562" t="s">
        <v>875</v>
      </c>
      <c r="AI5" s="2562" t="s">
        <v>876</v>
      </c>
      <c r="AJ5" s="2560" t="s">
        <v>877</v>
      </c>
      <c r="AK5" s="2560" t="s">
        <v>878</v>
      </c>
      <c r="AL5" s="2564" t="s">
        <v>879</v>
      </c>
      <c r="AM5" s="2554" t="s">
        <v>880</v>
      </c>
      <c r="AN5" s="2552" t="s">
        <v>881</v>
      </c>
      <c r="AO5" s="2554" t="s">
        <v>882</v>
      </c>
      <c r="AP5" s="2552" t="s">
        <v>883</v>
      </c>
      <c r="AQ5" s="2554" t="s">
        <v>884</v>
      </c>
      <c r="AR5" s="2552" t="s">
        <v>885</v>
      </c>
      <c r="AS5" s="2560" t="s">
        <v>886</v>
      </c>
      <c r="AT5" s="2552" t="s">
        <v>887</v>
      </c>
      <c r="AU5" s="2560" t="s">
        <v>888</v>
      </c>
      <c r="AV5" s="2552" t="s">
        <v>889</v>
      </c>
      <c r="AW5" s="2552" t="s">
        <v>890</v>
      </c>
      <c r="AX5" s="2552" t="s">
        <v>891</v>
      </c>
      <c r="AY5" s="2556" t="s">
        <v>899</v>
      </c>
      <c r="AZ5" s="2552" t="s">
        <v>892</v>
      </c>
      <c r="BA5" s="2558" t="s">
        <v>682</v>
      </c>
    </row>
    <row r="6" spans="1:53" s="97" customFormat="1" ht="47.25">
      <c r="A6" s="2543"/>
      <c r="B6" s="2543"/>
      <c r="C6" s="2543"/>
      <c r="D6" s="2543"/>
      <c r="E6" s="2555"/>
      <c r="F6" s="2563"/>
      <c r="G6" s="2563"/>
      <c r="H6" s="2577"/>
      <c r="I6" s="2563"/>
      <c r="J6" s="2563"/>
      <c r="K6" s="2553"/>
      <c r="L6" s="2563"/>
      <c r="M6" s="2563"/>
      <c r="N6" s="2563"/>
      <c r="O6" s="2561"/>
      <c r="P6" s="1358" t="s">
        <v>893</v>
      </c>
      <c r="Q6" s="1358" t="s">
        <v>894</v>
      </c>
      <c r="R6" s="1358" t="s">
        <v>929</v>
      </c>
      <c r="S6" s="1358" t="s">
        <v>1005</v>
      </c>
      <c r="T6" s="1357" t="s">
        <v>895</v>
      </c>
      <c r="U6" s="1357" t="s">
        <v>896</v>
      </c>
      <c r="V6" s="1357" t="s">
        <v>930</v>
      </c>
      <c r="W6" s="1358" t="s">
        <v>1006</v>
      </c>
      <c r="X6" s="2563"/>
      <c r="Y6" s="2553"/>
      <c r="Z6" s="2563"/>
      <c r="AA6" s="2563"/>
      <c r="AB6" s="2567"/>
      <c r="AC6" s="2563"/>
      <c r="AD6" s="2555"/>
      <c r="AE6" s="2563"/>
      <c r="AF6" s="2563"/>
      <c r="AG6" s="2563"/>
      <c r="AH6" s="2563"/>
      <c r="AI6" s="2563"/>
      <c r="AJ6" s="2561"/>
      <c r="AK6" s="2561"/>
      <c r="AL6" s="2565"/>
      <c r="AM6" s="2555"/>
      <c r="AN6" s="2553"/>
      <c r="AO6" s="2555"/>
      <c r="AP6" s="2553"/>
      <c r="AQ6" s="2555"/>
      <c r="AR6" s="2553"/>
      <c r="AS6" s="2561"/>
      <c r="AT6" s="2553"/>
      <c r="AU6" s="2561"/>
      <c r="AV6" s="2553"/>
      <c r="AW6" s="2553"/>
      <c r="AX6" s="2553"/>
      <c r="AY6" s="2557"/>
      <c r="AZ6" s="2553"/>
      <c r="BA6" s="2559"/>
    </row>
    <row r="7" spans="1:53" s="25" customFormat="1" ht="25.5">
      <c r="A7" s="1225" t="s">
        <v>273</v>
      </c>
      <c r="B7" s="625"/>
      <c r="C7" s="1224" t="s">
        <v>276</v>
      </c>
      <c r="D7" s="1224" t="s">
        <v>277</v>
      </c>
      <c r="E7" s="1244"/>
      <c r="F7" s="1224"/>
      <c r="G7" s="1224"/>
      <c r="H7" s="1226"/>
      <c r="I7" s="1225"/>
      <c r="J7" s="1225"/>
      <c r="K7" s="1227" t="s">
        <v>278</v>
      </c>
      <c r="L7" s="1227"/>
      <c r="M7" s="1225"/>
      <c r="N7" s="1225"/>
      <c r="O7" s="1236"/>
      <c r="P7" s="1227"/>
      <c r="Q7" s="1225"/>
      <c r="R7" s="1225"/>
      <c r="S7" s="1225"/>
      <c r="T7" s="1226"/>
      <c r="U7" s="1226"/>
      <c r="V7" s="1226"/>
      <c r="W7" s="1225"/>
      <c r="X7" s="1227"/>
      <c r="Y7" s="1004"/>
      <c r="Z7" s="1004"/>
      <c r="AA7" s="1227" t="s">
        <v>279</v>
      </c>
      <c r="AB7" s="1227"/>
      <c r="AC7" s="1224"/>
      <c r="AD7" s="1244"/>
      <c r="AE7" s="1224"/>
      <c r="AF7" s="1224"/>
      <c r="AG7" s="1004"/>
      <c r="AH7" s="911"/>
      <c r="AI7" s="1004"/>
      <c r="AJ7" s="1003"/>
      <c r="AK7" s="1236"/>
      <c r="AL7" s="1191"/>
      <c r="AM7" s="1238"/>
      <c r="AN7" s="1227"/>
      <c r="AO7" s="1238"/>
      <c r="AP7" s="1004"/>
      <c r="AQ7" s="1238"/>
      <c r="AR7" s="1004"/>
      <c r="AS7" s="1003"/>
      <c r="AT7" s="1004"/>
      <c r="AU7" s="1003"/>
      <c r="AV7" s="1004"/>
      <c r="AW7" s="1004" t="s">
        <v>280</v>
      </c>
      <c r="AX7" s="1004" t="s">
        <v>282</v>
      </c>
      <c r="AY7" s="1103"/>
      <c r="AZ7" s="1004" t="s">
        <v>283</v>
      </c>
      <c r="BA7" s="1524" t="s">
        <v>901</v>
      </c>
    </row>
    <row r="8" spans="1:53">
      <c r="A8" s="2177">
        <v>1</v>
      </c>
      <c r="B8" s="2172" t="s">
        <v>1846</v>
      </c>
      <c r="C8" s="2173" t="s">
        <v>1847</v>
      </c>
      <c r="D8" s="2174" t="s">
        <v>1848</v>
      </c>
      <c r="E8" s="2175">
        <v>0</v>
      </c>
      <c r="F8" s="2174"/>
      <c r="G8" s="2174"/>
      <c r="H8" s="2176"/>
      <c r="I8" s="2177"/>
      <c r="J8" s="2177"/>
      <c r="K8" s="2178">
        <v>85000</v>
      </c>
      <c r="L8" s="2178"/>
      <c r="M8" s="2179"/>
      <c r="N8" s="2179"/>
      <c r="O8" s="2180"/>
      <c r="P8" s="2179"/>
      <c r="Q8" s="2179"/>
      <c r="R8" s="2179"/>
      <c r="S8" s="2179"/>
      <c r="T8" s="2181"/>
      <c r="U8" s="2181"/>
      <c r="V8" s="2181"/>
      <c r="W8" s="2179"/>
      <c r="X8" s="2182"/>
      <c r="Y8" s="2183"/>
      <c r="Z8" s="2183"/>
      <c r="AA8" s="2178">
        <f>Z8</f>
        <v>0</v>
      </c>
      <c r="AB8" s="2182"/>
      <c r="AC8" s="2174" t="s">
        <v>1848</v>
      </c>
      <c r="AD8" s="2175">
        <v>0</v>
      </c>
      <c r="AE8" s="2174"/>
      <c r="AF8" s="2174"/>
      <c r="AG8" s="2183"/>
      <c r="AH8" s="2184"/>
      <c r="AI8" s="2183"/>
      <c r="AJ8" s="2185"/>
      <c r="AK8" s="2180"/>
      <c r="AL8" s="2186"/>
      <c r="AM8" s="2187"/>
      <c r="AN8" s="2178"/>
      <c r="AO8" s="2187"/>
      <c r="AP8" s="2183"/>
      <c r="AQ8" s="2187"/>
      <c r="AR8" s="2183"/>
      <c r="AS8" s="2185"/>
      <c r="AT8" s="2183"/>
      <c r="AU8" s="2185"/>
      <c r="AV8" s="2183"/>
      <c r="AW8" s="2183"/>
      <c r="AX8" s="2183"/>
      <c r="AY8" s="2188"/>
      <c r="AZ8" s="2183"/>
      <c r="BA8" s="2183">
        <f>K8+AA8+AW8+AX8+AZ8</f>
        <v>85000</v>
      </c>
    </row>
    <row r="9" spans="1:53">
      <c r="A9" s="2193"/>
      <c r="B9" s="2169"/>
      <c r="C9" s="2189"/>
      <c r="D9" s="2190"/>
      <c r="E9" s="2191"/>
      <c r="F9" s="2190"/>
      <c r="G9" s="2190"/>
      <c r="H9" s="2192"/>
      <c r="I9" s="2193"/>
      <c r="J9" s="2193"/>
      <c r="K9" s="2194"/>
      <c r="L9" s="2194"/>
      <c r="M9" s="2195"/>
      <c r="N9" s="2195"/>
      <c r="O9" s="2196"/>
      <c r="P9" s="2195"/>
      <c r="Q9" s="2195"/>
      <c r="R9" s="2195"/>
      <c r="S9" s="2195"/>
      <c r="T9" s="2197"/>
      <c r="U9" s="2197"/>
      <c r="V9" s="2197"/>
      <c r="W9" s="2195"/>
      <c r="X9" s="2198"/>
      <c r="Y9" s="2199"/>
      <c r="Z9" s="2199"/>
      <c r="AA9" s="2194"/>
      <c r="AB9" s="2198"/>
      <c r="AC9" s="2190"/>
      <c r="AD9" s="2191"/>
      <c r="AE9" s="2190"/>
      <c r="AF9" s="2190"/>
      <c r="AG9" s="2199"/>
      <c r="AH9" s="2200"/>
      <c r="AI9" s="2199"/>
      <c r="AJ9" s="2201"/>
      <c r="AK9" s="2196"/>
      <c r="AL9" s="2202"/>
      <c r="AM9" s="2203"/>
      <c r="AN9" s="2194"/>
      <c r="AO9" s="2203"/>
      <c r="AP9" s="2199"/>
      <c r="AQ9" s="2203"/>
      <c r="AR9" s="2199"/>
      <c r="AS9" s="2201"/>
      <c r="AT9" s="2199"/>
      <c r="AU9" s="2201"/>
      <c r="AV9" s="2199"/>
      <c r="AW9" s="2199"/>
      <c r="AX9" s="2199"/>
      <c r="AY9" s="2204"/>
      <c r="AZ9" s="2199"/>
      <c r="BA9" s="2199"/>
    </row>
    <row r="10" spans="1:53" ht="22.5">
      <c r="A10" s="1246" t="s">
        <v>182</v>
      </c>
      <c r="B10" s="1247"/>
      <c r="C10" s="1248"/>
      <c r="D10" s="1248"/>
      <c r="E10" s="1248"/>
      <c r="F10" s="1248"/>
      <c r="G10" s="1248"/>
      <c r="H10" s="1249"/>
      <c r="I10" s="1249"/>
      <c r="J10" s="1249"/>
      <c r="K10" s="1249"/>
      <c r="L10" s="1249"/>
      <c r="M10" s="1249"/>
      <c r="N10" s="1249"/>
      <c r="O10" s="1249"/>
      <c r="P10" s="1249"/>
      <c r="Q10" s="1249"/>
      <c r="R10" s="1249"/>
      <c r="S10" s="1249"/>
      <c r="T10" s="1249"/>
      <c r="U10" s="1249"/>
      <c r="V10" s="1249"/>
      <c r="W10" s="101"/>
      <c r="X10" s="1249"/>
      <c r="Y10" s="1249"/>
      <c r="Z10" s="1249"/>
      <c r="AA10" s="1249"/>
      <c r="AB10" s="1249"/>
      <c r="AC10" s="1248"/>
      <c r="AD10" s="1248"/>
      <c r="AE10" s="1248"/>
      <c r="AF10" s="1248"/>
      <c r="AG10" s="1249"/>
      <c r="AH10" s="1249"/>
      <c r="AI10" s="1249"/>
      <c r="AJ10" s="1249"/>
      <c r="AK10" s="1249"/>
      <c r="AM10" s="1249"/>
      <c r="AN10" s="1249"/>
      <c r="AO10" s="1249"/>
      <c r="AP10" s="1249"/>
      <c r="AQ10" s="1249"/>
      <c r="AR10" s="1249"/>
      <c r="AS10" s="1249"/>
      <c r="AT10" s="1249"/>
      <c r="AU10" s="1249"/>
      <c r="AV10" s="1249"/>
      <c r="AW10" s="1249"/>
      <c r="AX10" s="1249"/>
      <c r="AY10" s="1249"/>
      <c r="AZ10" s="1249"/>
      <c r="BA10" s="1249"/>
    </row>
    <row r="11" spans="1:53" ht="18.75">
      <c r="A11" s="1250" t="str">
        <f>Ts!H4&amp;Ts!K4</f>
        <v>CÔNG TRÌNH: NHÀ 01 TẦNG, TƯỜNG CHỊU LỰC 110MM, MÁI LỢP FIBRÔXIMĂNG, KHÔNG CÓ KHU VỆ SINH KHÉP KÍN</v>
      </c>
      <c r="B11" s="1247"/>
      <c r="C11" s="1251"/>
      <c r="D11" s="1251"/>
      <c r="E11" s="1251"/>
      <c r="F11" s="1251"/>
      <c r="G11" s="1251"/>
      <c r="H11" s="1127"/>
      <c r="I11" s="1127"/>
      <c r="J11" s="1127"/>
      <c r="K11" s="1127"/>
      <c r="L11" s="1127"/>
      <c r="M11" s="1127"/>
      <c r="N11" s="1127"/>
      <c r="O11" s="1127"/>
      <c r="P11" s="1127"/>
      <c r="Q11" s="1127"/>
      <c r="R11" s="1127"/>
      <c r="S11" s="1127"/>
      <c r="T11" s="1127"/>
      <c r="U11" s="1127"/>
      <c r="V11" s="1127"/>
      <c r="W11" s="6"/>
      <c r="X11" s="1127"/>
      <c r="Y11" s="1127"/>
      <c r="Z11" s="1127"/>
      <c r="AA11" s="1127"/>
      <c r="AB11" s="1127"/>
      <c r="AC11" s="1251"/>
      <c r="AD11" s="1251"/>
      <c r="AE11" s="1251"/>
      <c r="AF11" s="1251"/>
      <c r="AG11" s="1127"/>
      <c r="AH11" s="1127"/>
      <c r="AI11" s="1127"/>
      <c r="AJ11" s="1127"/>
      <c r="AK11" s="1127"/>
      <c r="AL11" s="1253"/>
      <c r="AM11" s="1127"/>
      <c r="AN11" s="1127"/>
      <c r="AO11" s="1249"/>
      <c r="AP11" s="1249"/>
      <c r="AQ11" s="1249"/>
      <c r="AR11" s="1249"/>
      <c r="AS11" s="1249"/>
      <c r="AT11" s="1249"/>
      <c r="AU11" s="1249"/>
      <c r="AV11" s="1249"/>
      <c r="AW11" s="1249"/>
      <c r="AX11" s="1249"/>
      <c r="AY11" s="1249"/>
      <c r="AZ11" s="1249"/>
      <c r="BA11" s="1249"/>
    </row>
    <row r="12" spans="1:53" ht="18.75">
      <c r="A12" s="1250" t="s">
        <v>2062</v>
      </c>
      <c r="B12" s="1247"/>
      <c r="C12" s="1251"/>
      <c r="D12" s="1251"/>
      <c r="E12" s="1251"/>
      <c r="F12" s="1251"/>
      <c r="G12" s="1251"/>
      <c r="H12" s="1127"/>
      <c r="I12" s="1127"/>
      <c r="J12" s="1127"/>
      <c r="K12" s="1127"/>
      <c r="L12" s="1127"/>
      <c r="M12" s="1127"/>
      <c r="N12" s="1127"/>
      <c r="O12" s="1127"/>
      <c r="P12" s="1127"/>
      <c r="Q12" s="1127"/>
      <c r="R12" s="1127"/>
      <c r="S12" s="1127"/>
      <c r="T12" s="1127"/>
      <c r="U12" s="1127"/>
      <c r="V12" s="1127"/>
      <c r="W12" s="6"/>
      <c r="X12" s="1127"/>
      <c r="Y12" s="1127"/>
      <c r="Z12" s="1127"/>
      <c r="AA12" s="1127"/>
      <c r="AB12" s="1127"/>
      <c r="AC12" s="1251"/>
      <c r="AD12" s="1251"/>
      <c r="AE12" s="1251"/>
      <c r="AF12" s="1251"/>
      <c r="AG12" s="1127"/>
      <c r="AH12" s="1127"/>
      <c r="AI12" s="1127"/>
      <c r="AJ12" s="1127"/>
      <c r="AK12" s="1127"/>
      <c r="AL12" s="1253"/>
      <c r="AM12" s="1127"/>
      <c r="AN12" s="1127"/>
      <c r="AO12" s="1249"/>
      <c r="AP12" s="1249"/>
      <c r="AQ12" s="1249"/>
      <c r="AR12" s="1249"/>
      <c r="AS12" s="1249"/>
      <c r="AT12" s="1249"/>
      <c r="AU12" s="1249"/>
      <c r="AV12" s="1249"/>
      <c r="AW12" s="1249"/>
      <c r="AX12" s="1249"/>
      <c r="AY12" s="1249"/>
      <c r="AZ12" s="1249"/>
      <c r="BA12" s="1249"/>
    </row>
    <row r="13" spans="1:53" hidden="1">
      <c r="A13" s="649"/>
      <c r="B13" s="1228"/>
      <c r="C13" s="1241"/>
      <c r="D13" s="1359" t="s">
        <v>897</v>
      </c>
      <c r="E13" s="1359"/>
      <c r="F13" s="1359"/>
      <c r="G13" s="1359"/>
      <c r="H13" s="1359"/>
      <c r="I13" s="1359"/>
      <c r="J13" s="1359"/>
      <c r="K13" s="1359"/>
      <c r="L13" s="1359"/>
      <c r="M13" s="1359"/>
      <c r="N13" s="1359"/>
      <c r="O13" s="1359"/>
      <c r="P13" s="1359"/>
      <c r="Q13" s="1359"/>
      <c r="R13" s="1359"/>
      <c r="S13" s="1359"/>
      <c r="T13" s="1359"/>
      <c r="U13" s="1359"/>
      <c r="V13" s="1359"/>
      <c r="W13" s="1359"/>
      <c r="X13" s="1359"/>
      <c r="Y13" s="1359"/>
      <c r="Z13" s="1359"/>
      <c r="AA13" s="1359"/>
      <c r="AB13" s="1360" t="s">
        <v>898</v>
      </c>
      <c r="AC13" s="1361"/>
      <c r="AD13" s="1361"/>
      <c r="AE13" s="1361"/>
      <c r="AF13" s="1361"/>
      <c r="AG13" s="1361"/>
      <c r="AH13" s="1361"/>
      <c r="AI13" s="1361"/>
      <c r="AJ13" s="1361"/>
      <c r="AK13" s="1361"/>
      <c r="AL13" s="1361"/>
      <c r="AM13" s="1361"/>
      <c r="AN13" s="1361"/>
      <c r="AO13" s="1361"/>
      <c r="AP13" s="1361"/>
      <c r="AQ13" s="1361"/>
      <c r="AR13" s="1361"/>
      <c r="AS13" s="1361"/>
      <c r="AT13" s="1361"/>
      <c r="AU13" s="1362"/>
      <c r="AV13" s="1361"/>
      <c r="AW13" s="1361"/>
      <c r="AX13" s="1363"/>
      <c r="AY13" s="1234"/>
      <c r="AZ13" s="1243"/>
      <c r="BA13" s="1243"/>
    </row>
    <row r="14" spans="1:53">
      <c r="A14" s="2542" t="s">
        <v>196</v>
      </c>
      <c r="B14" s="2542" t="s">
        <v>135</v>
      </c>
      <c r="C14" s="2542" t="s">
        <v>141</v>
      </c>
      <c r="D14" s="2542" t="s">
        <v>1166</v>
      </c>
      <c r="E14" s="2554" t="s">
        <v>142</v>
      </c>
      <c r="F14" s="2562" t="s">
        <v>1167</v>
      </c>
      <c r="G14" s="2562" t="s">
        <v>928</v>
      </c>
      <c r="H14" s="2576" t="s">
        <v>1169</v>
      </c>
      <c r="I14" s="2562" t="s">
        <v>867</v>
      </c>
      <c r="J14" s="2562" t="s">
        <v>20</v>
      </c>
      <c r="K14" s="2552" t="s">
        <v>1007</v>
      </c>
      <c r="L14" s="2562" t="s">
        <v>868</v>
      </c>
      <c r="M14" s="2562" t="s">
        <v>143</v>
      </c>
      <c r="N14" s="2562" t="s">
        <v>144</v>
      </c>
      <c r="O14" s="2560" t="s">
        <v>869</v>
      </c>
      <c r="P14" s="2573" t="s">
        <v>870</v>
      </c>
      <c r="Q14" s="2574"/>
      <c r="R14" s="2574"/>
      <c r="S14" s="2575"/>
      <c r="T14" s="2570" t="s">
        <v>871</v>
      </c>
      <c r="U14" s="2571"/>
      <c r="V14" s="2571"/>
      <c r="W14" s="2572"/>
      <c r="X14" s="2562" t="s">
        <v>900</v>
      </c>
      <c r="Y14" s="2552" t="s">
        <v>872</v>
      </c>
      <c r="Z14" s="2562" t="s">
        <v>873</v>
      </c>
      <c r="AA14" s="2562" t="s">
        <v>622</v>
      </c>
      <c r="AB14" s="2566" t="s">
        <v>1170</v>
      </c>
      <c r="AC14" s="2562" t="s">
        <v>1166</v>
      </c>
      <c r="AD14" s="2554" t="s">
        <v>142</v>
      </c>
      <c r="AE14" s="2562" t="s">
        <v>1168</v>
      </c>
      <c r="AF14" s="2562" t="s">
        <v>928</v>
      </c>
      <c r="AG14" s="2562" t="s">
        <v>874</v>
      </c>
      <c r="AH14" s="2562" t="s">
        <v>875</v>
      </c>
      <c r="AI14" s="2562" t="s">
        <v>876</v>
      </c>
      <c r="AJ14" s="2560" t="s">
        <v>877</v>
      </c>
      <c r="AK14" s="2560" t="s">
        <v>878</v>
      </c>
      <c r="AL14" s="2564" t="s">
        <v>879</v>
      </c>
      <c r="AM14" s="2554" t="s">
        <v>880</v>
      </c>
      <c r="AN14" s="2552" t="s">
        <v>881</v>
      </c>
      <c r="AO14" s="2554" t="s">
        <v>882</v>
      </c>
      <c r="AP14" s="2552" t="s">
        <v>883</v>
      </c>
      <c r="AQ14" s="2554" t="s">
        <v>884</v>
      </c>
      <c r="AR14" s="2552" t="s">
        <v>885</v>
      </c>
      <c r="AS14" s="2560" t="s">
        <v>886</v>
      </c>
      <c r="AT14" s="2552" t="s">
        <v>887</v>
      </c>
      <c r="AU14" s="2560" t="s">
        <v>888</v>
      </c>
      <c r="AV14" s="2552" t="s">
        <v>889</v>
      </c>
      <c r="AW14" s="2552" t="s">
        <v>890</v>
      </c>
      <c r="AX14" s="2552" t="s">
        <v>891</v>
      </c>
      <c r="AY14" s="2556" t="s">
        <v>899</v>
      </c>
      <c r="AZ14" s="2552" t="s">
        <v>892</v>
      </c>
      <c r="BA14" s="2558" t="s">
        <v>682</v>
      </c>
    </row>
    <row r="15" spans="1:53" ht="47.25">
      <c r="A15" s="2568"/>
      <c r="B15" s="2568"/>
      <c r="C15" s="2568"/>
      <c r="D15" s="2568"/>
      <c r="E15" s="2569"/>
      <c r="F15" s="2579"/>
      <c r="G15" s="2579"/>
      <c r="H15" s="2581"/>
      <c r="I15" s="2579"/>
      <c r="J15" s="2579"/>
      <c r="K15" s="2578"/>
      <c r="L15" s="2579"/>
      <c r="M15" s="2579"/>
      <c r="N15" s="2579"/>
      <c r="O15" s="2580"/>
      <c r="P15" s="1358" t="s">
        <v>893</v>
      </c>
      <c r="Q15" s="1358" t="s">
        <v>894</v>
      </c>
      <c r="R15" s="1358" t="s">
        <v>929</v>
      </c>
      <c r="S15" s="1358" t="s">
        <v>1005</v>
      </c>
      <c r="T15" s="1357" t="s">
        <v>895</v>
      </c>
      <c r="U15" s="1357" t="s">
        <v>896</v>
      </c>
      <c r="V15" s="1357" t="s">
        <v>930</v>
      </c>
      <c r="W15" s="1358" t="s">
        <v>1006</v>
      </c>
      <c r="X15" s="2579"/>
      <c r="Y15" s="2578"/>
      <c r="Z15" s="2579"/>
      <c r="AA15" s="2579"/>
      <c r="AB15" s="2582"/>
      <c r="AC15" s="2579"/>
      <c r="AD15" s="2569"/>
      <c r="AE15" s="2579"/>
      <c r="AF15" s="2579"/>
      <c r="AG15" s="2579"/>
      <c r="AH15" s="2579"/>
      <c r="AI15" s="2579"/>
      <c r="AJ15" s="2580"/>
      <c r="AK15" s="2580"/>
      <c r="AL15" s="2583"/>
      <c r="AM15" s="2569"/>
      <c r="AN15" s="2578"/>
      <c r="AO15" s="2569"/>
      <c r="AP15" s="2578"/>
      <c r="AQ15" s="2569"/>
      <c r="AR15" s="2578"/>
      <c r="AS15" s="2580"/>
      <c r="AT15" s="2578"/>
      <c r="AU15" s="2580"/>
      <c r="AV15" s="2578"/>
      <c r="AW15" s="2578"/>
      <c r="AX15" s="2578"/>
      <c r="AY15" s="2585"/>
      <c r="AZ15" s="2578"/>
      <c r="BA15" s="2584"/>
    </row>
    <row r="16" spans="1:53">
      <c r="A16" s="2210">
        <v>1</v>
      </c>
      <c r="B16" s="2205" t="s">
        <v>1857</v>
      </c>
      <c r="C16" s="2206" t="s">
        <v>1858</v>
      </c>
      <c r="D16" s="2207" t="s">
        <v>1848</v>
      </c>
      <c r="E16" s="2208" t="s">
        <v>2063</v>
      </c>
      <c r="F16" s="2207"/>
      <c r="G16" s="2207"/>
      <c r="H16" s="2209"/>
      <c r="I16" s="2210"/>
      <c r="J16" s="2210"/>
      <c r="K16" s="2211">
        <v>435000</v>
      </c>
      <c r="L16" s="2211"/>
      <c r="M16" s="2212"/>
      <c r="N16" s="2212"/>
      <c r="O16" s="2213"/>
      <c r="P16" s="2212"/>
      <c r="Q16" s="2212"/>
      <c r="R16" s="2212"/>
      <c r="S16" s="2212"/>
      <c r="T16" s="2214"/>
      <c r="U16" s="2214"/>
      <c r="V16" s="2214"/>
      <c r="W16" s="2212"/>
      <c r="X16" s="2215"/>
      <c r="Y16" s="2216"/>
      <c r="Z16" s="2216"/>
      <c r="AA16" s="2211">
        <f t="shared" ref="AA16:AA31" si="0">Z16</f>
        <v>0</v>
      </c>
      <c r="AB16" s="2215"/>
      <c r="AC16" s="2207" t="s">
        <v>1848</v>
      </c>
      <c r="AD16" s="2208" t="s">
        <v>2063</v>
      </c>
      <c r="AE16" s="2207"/>
      <c r="AF16" s="2207"/>
      <c r="AG16" s="2216"/>
      <c r="AH16" s="2217"/>
      <c r="AI16" s="2216"/>
      <c r="AJ16" s="2218"/>
      <c r="AK16" s="2213"/>
      <c r="AL16" s="2219"/>
      <c r="AM16" s="2220"/>
      <c r="AN16" s="2211"/>
      <c r="AO16" s="2220"/>
      <c r="AP16" s="2216"/>
      <c r="AQ16" s="2220"/>
      <c r="AR16" s="2216"/>
      <c r="AS16" s="2218"/>
      <c r="AT16" s="2216"/>
      <c r="AU16" s="2218"/>
      <c r="AV16" s="2216"/>
      <c r="AW16" s="2216"/>
      <c r="AX16" s="2216"/>
      <c r="AY16" s="2221"/>
      <c r="AZ16" s="2216"/>
      <c r="BA16" s="2216">
        <f t="shared" ref="BA16:BA31" si="1">K16+AA16+AW16+AX16+AZ16</f>
        <v>435000</v>
      </c>
    </row>
    <row r="17" spans="1:53">
      <c r="A17" s="2226">
        <v>2</v>
      </c>
      <c r="B17" s="2168" t="s">
        <v>1903</v>
      </c>
      <c r="C17" s="2222" t="s">
        <v>1904</v>
      </c>
      <c r="D17" s="2223" t="s">
        <v>1848</v>
      </c>
      <c r="E17" s="2224" t="s">
        <v>2063</v>
      </c>
      <c r="F17" s="2223"/>
      <c r="G17" s="2223"/>
      <c r="H17" s="2225"/>
      <c r="I17" s="2226"/>
      <c r="J17" s="2226"/>
      <c r="K17" s="2227">
        <v>435000</v>
      </c>
      <c r="L17" s="2227"/>
      <c r="M17" s="2228"/>
      <c r="N17" s="2228"/>
      <c r="O17" s="2229"/>
      <c r="P17" s="2228"/>
      <c r="Q17" s="2228"/>
      <c r="R17" s="2228"/>
      <c r="S17" s="2228"/>
      <c r="T17" s="2230"/>
      <c r="U17" s="2230"/>
      <c r="V17" s="2230"/>
      <c r="W17" s="2228"/>
      <c r="X17" s="2231"/>
      <c r="Y17" s="2232"/>
      <c r="Z17" s="2232"/>
      <c r="AA17" s="2227">
        <f t="shared" si="0"/>
        <v>0</v>
      </c>
      <c r="AB17" s="2231"/>
      <c r="AC17" s="2223" t="s">
        <v>1848</v>
      </c>
      <c r="AD17" s="2224" t="s">
        <v>2063</v>
      </c>
      <c r="AE17" s="2223"/>
      <c r="AF17" s="2223"/>
      <c r="AG17" s="2232"/>
      <c r="AH17" s="2233"/>
      <c r="AI17" s="2232"/>
      <c r="AJ17" s="2234"/>
      <c r="AK17" s="2229"/>
      <c r="AL17" s="2235"/>
      <c r="AM17" s="2236"/>
      <c r="AN17" s="2227"/>
      <c r="AO17" s="2236"/>
      <c r="AP17" s="2232"/>
      <c r="AQ17" s="2236"/>
      <c r="AR17" s="2232"/>
      <c r="AS17" s="2234"/>
      <c r="AT17" s="2232"/>
      <c r="AU17" s="2234"/>
      <c r="AV17" s="2232"/>
      <c r="AW17" s="2232"/>
      <c r="AX17" s="2232"/>
      <c r="AY17" s="2237"/>
      <c r="AZ17" s="2232"/>
      <c r="BA17" s="2232">
        <f t="shared" si="1"/>
        <v>435000</v>
      </c>
    </row>
    <row r="18" spans="1:53">
      <c r="A18" s="2226">
        <v>3</v>
      </c>
      <c r="B18" s="2168" t="s">
        <v>1905</v>
      </c>
      <c r="C18" s="2222" t="s">
        <v>1906</v>
      </c>
      <c r="D18" s="2223" t="s">
        <v>1848</v>
      </c>
      <c r="E18" s="2224" t="s">
        <v>2064</v>
      </c>
      <c r="F18" s="2223"/>
      <c r="G18" s="2223"/>
      <c r="H18" s="2225"/>
      <c r="I18" s="2226"/>
      <c r="J18" s="2226"/>
      <c r="K18" s="2227">
        <v>165000</v>
      </c>
      <c r="L18" s="2227"/>
      <c r="M18" s="2228"/>
      <c r="N18" s="2228"/>
      <c r="O18" s="2229"/>
      <c r="P18" s="2228"/>
      <c r="Q18" s="2228"/>
      <c r="R18" s="2228"/>
      <c r="S18" s="2228"/>
      <c r="T18" s="2230"/>
      <c r="U18" s="2230"/>
      <c r="V18" s="2230"/>
      <c r="W18" s="2228"/>
      <c r="X18" s="2231"/>
      <c r="Y18" s="2232"/>
      <c r="Z18" s="2232"/>
      <c r="AA18" s="2227">
        <f t="shared" si="0"/>
        <v>0</v>
      </c>
      <c r="AB18" s="2231"/>
      <c r="AC18" s="2223" t="s">
        <v>1848</v>
      </c>
      <c r="AD18" s="2224" t="s">
        <v>2064</v>
      </c>
      <c r="AE18" s="2223"/>
      <c r="AF18" s="2223"/>
      <c r="AG18" s="2232"/>
      <c r="AH18" s="2233"/>
      <c r="AI18" s="2232"/>
      <c r="AJ18" s="2234"/>
      <c r="AK18" s="2229"/>
      <c r="AL18" s="2235"/>
      <c r="AM18" s="2236"/>
      <c r="AN18" s="2227"/>
      <c r="AO18" s="2236"/>
      <c r="AP18" s="2232"/>
      <c r="AQ18" s="2236"/>
      <c r="AR18" s="2232"/>
      <c r="AS18" s="2234"/>
      <c r="AT18" s="2232"/>
      <c r="AU18" s="2234"/>
      <c r="AV18" s="2232"/>
      <c r="AW18" s="2232"/>
      <c r="AX18" s="2232"/>
      <c r="AY18" s="2237"/>
      <c r="AZ18" s="2232"/>
      <c r="BA18" s="2232">
        <f t="shared" si="1"/>
        <v>165000</v>
      </c>
    </row>
    <row r="19" spans="1:53">
      <c r="A19" s="2226">
        <v>4</v>
      </c>
      <c r="B19" s="2168" t="s">
        <v>1864</v>
      </c>
      <c r="C19" s="2222" t="s">
        <v>1865</v>
      </c>
      <c r="D19" s="2223" t="s">
        <v>1848</v>
      </c>
      <c r="E19" s="2224">
        <v>0</v>
      </c>
      <c r="F19" s="2223"/>
      <c r="G19" s="2223"/>
      <c r="H19" s="2225"/>
      <c r="I19" s="2226"/>
      <c r="J19" s="2226"/>
      <c r="K19" s="2227">
        <v>120000</v>
      </c>
      <c r="L19" s="2227"/>
      <c r="M19" s="2228"/>
      <c r="N19" s="2228"/>
      <c r="O19" s="2229"/>
      <c r="P19" s="2228"/>
      <c r="Q19" s="2228"/>
      <c r="R19" s="2228"/>
      <c r="S19" s="2228"/>
      <c r="T19" s="2230"/>
      <c r="U19" s="2230"/>
      <c r="V19" s="2230"/>
      <c r="W19" s="2228"/>
      <c r="X19" s="2231"/>
      <c r="Y19" s="2232"/>
      <c r="Z19" s="2232"/>
      <c r="AA19" s="2227">
        <f t="shared" si="0"/>
        <v>0</v>
      </c>
      <c r="AB19" s="2231"/>
      <c r="AC19" s="2223" t="s">
        <v>1848</v>
      </c>
      <c r="AD19" s="2224">
        <v>0</v>
      </c>
      <c r="AE19" s="2223"/>
      <c r="AF19" s="2223"/>
      <c r="AG19" s="2232"/>
      <c r="AH19" s="2233"/>
      <c r="AI19" s="2232"/>
      <c r="AJ19" s="2234"/>
      <c r="AK19" s="2229"/>
      <c r="AL19" s="2235"/>
      <c r="AM19" s="2236"/>
      <c r="AN19" s="2227"/>
      <c r="AO19" s="2236"/>
      <c r="AP19" s="2232"/>
      <c r="AQ19" s="2236"/>
      <c r="AR19" s="2232"/>
      <c r="AS19" s="2234"/>
      <c r="AT19" s="2232"/>
      <c r="AU19" s="2234"/>
      <c r="AV19" s="2232"/>
      <c r="AW19" s="2232"/>
      <c r="AX19" s="2232"/>
      <c r="AY19" s="2237"/>
      <c r="AZ19" s="2232"/>
      <c r="BA19" s="2232">
        <f t="shared" si="1"/>
        <v>120000</v>
      </c>
    </row>
    <row r="20" spans="1:53">
      <c r="A20" s="2226">
        <v>5</v>
      </c>
      <c r="B20" s="2168" t="s">
        <v>1862</v>
      </c>
      <c r="C20" s="2222" t="s">
        <v>1863</v>
      </c>
      <c r="D20" s="2223" t="s">
        <v>1848</v>
      </c>
      <c r="E20" s="2224" t="s">
        <v>2065</v>
      </c>
      <c r="F20" s="2223"/>
      <c r="G20" s="2223"/>
      <c r="H20" s="2225"/>
      <c r="I20" s="2226"/>
      <c r="J20" s="2226"/>
      <c r="K20" s="2227">
        <v>150000</v>
      </c>
      <c r="L20" s="2227"/>
      <c r="M20" s="2228"/>
      <c r="N20" s="2228"/>
      <c r="O20" s="2229"/>
      <c r="P20" s="2228"/>
      <c r="Q20" s="2228"/>
      <c r="R20" s="2228"/>
      <c r="S20" s="2228"/>
      <c r="T20" s="2230"/>
      <c r="U20" s="2230"/>
      <c r="V20" s="2230"/>
      <c r="W20" s="2228"/>
      <c r="X20" s="2231"/>
      <c r="Y20" s="2232"/>
      <c r="Z20" s="2232"/>
      <c r="AA20" s="2227">
        <f t="shared" si="0"/>
        <v>0</v>
      </c>
      <c r="AB20" s="2231"/>
      <c r="AC20" s="2223" t="s">
        <v>1848</v>
      </c>
      <c r="AD20" s="2224" t="s">
        <v>2065</v>
      </c>
      <c r="AE20" s="2223"/>
      <c r="AF20" s="2223"/>
      <c r="AG20" s="2232"/>
      <c r="AH20" s="2233"/>
      <c r="AI20" s="2232"/>
      <c r="AJ20" s="2234"/>
      <c r="AK20" s="2229"/>
      <c r="AL20" s="2235"/>
      <c r="AM20" s="2236"/>
      <c r="AN20" s="2227"/>
      <c r="AO20" s="2236"/>
      <c r="AP20" s="2232"/>
      <c r="AQ20" s="2236"/>
      <c r="AR20" s="2232"/>
      <c r="AS20" s="2234"/>
      <c r="AT20" s="2232"/>
      <c r="AU20" s="2234"/>
      <c r="AV20" s="2232"/>
      <c r="AW20" s="2232"/>
      <c r="AX20" s="2232"/>
      <c r="AY20" s="2237"/>
      <c r="AZ20" s="2232"/>
      <c r="BA20" s="2232">
        <f t="shared" si="1"/>
        <v>150000</v>
      </c>
    </row>
    <row r="21" spans="1:53">
      <c r="A21" s="2226">
        <v>6</v>
      </c>
      <c r="B21" s="2168" t="s">
        <v>1880</v>
      </c>
      <c r="C21" s="2222" t="s">
        <v>1881</v>
      </c>
      <c r="D21" s="2223" t="s">
        <v>1856</v>
      </c>
      <c r="E21" s="2224" t="s">
        <v>2066</v>
      </c>
      <c r="F21" s="2223"/>
      <c r="G21" s="2223"/>
      <c r="H21" s="2225"/>
      <c r="I21" s="2226"/>
      <c r="J21" s="2226"/>
      <c r="K21" s="2227">
        <v>20000</v>
      </c>
      <c r="L21" s="2227"/>
      <c r="M21" s="2228"/>
      <c r="N21" s="2228"/>
      <c r="O21" s="2229"/>
      <c r="P21" s="2228"/>
      <c r="Q21" s="2228"/>
      <c r="R21" s="2228"/>
      <c r="S21" s="2228"/>
      <c r="T21" s="2230"/>
      <c r="U21" s="2230"/>
      <c r="V21" s="2230"/>
      <c r="W21" s="2228"/>
      <c r="X21" s="2231"/>
      <c r="Y21" s="2232"/>
      <c r="Z21" s="2232"/>
      <c r="AA21" s="2227">
        <f t="shared" si="0"/>
        <v>0</v>
      </c>
      <c r="AB21" s="2231"/>
      <c r="AC21" s="2223" t="s">
        <v>1856</v>
      </c>
      <c r="AD21" s="2224" t="s">
        <v>2066</v>
      </c>
      <c r="AE21" s="2223"/>
      <c r="AF21" s="2223"/>
      <c r="AG21" s="2232"/>
      <c r="AH21" s="2233"/>
      <c r="AI21" s="2232"/>
      <c r="AJ21" s="2234"/>
      <c r="AK21" s="2229"/>
      <c r="AL21" s="2235"/>
      <c r="AM21" s="2236"/>
      <c r="AN21" s="2227"/>
      <c r="AO21" s="2236"/>
      <c r="AP21" s="2232"/>
      <c r="AQ21" s="2236"/>
      <c r="AR21" s="2232"/>
      <c r="AS21" s="2234"/>
      <c r="AT21" s="2232"/>
      <c r="AU21" s="2234"/>
      <c r="AV21" s="2232"/>
      <c r="AW21" s="2232"/>
      <c r="AX21" s="2232"/>
      <c r="AY21" s="2237"/>
      <c r="AZ21" s="2232"/>
      <c r="BA21" s="2232">
        <f t="shared" si="1"/>
        <v>20000</v>
      </c>
    </row>
    <row r="22" spans="1:53">
      <c r="A22" s="2226">
        <v>7</v>
      </c>
      <c r="B22" s="2168" t="s">
        <v>1887</v>
      </c>
      <c r="C22" s="2222" t="s">
        <v>1888</v>
      </c>
      <c r="D22" s="2223" t="s">
        <v>1856</v>
      </c>
      <c r="E22" s="2224" t="s">
        <v>2066</v>
      </c>
      <c r="F22" s="2223"/>
      <c r="G22" s="2223"/>
      <c r="H22" s="2225"/>
      <c r="I22" s="2226"/>
      <c r="J22" s="2226"/>
      <c r="K22" s="2227">
        <v>27000</v>
      </c>
      <c r="L22" s="2227"/>
      <c r="M22" s="2228"/>
      <c r="N22" s="2228"/>
      <c r="O22" s="2229"/>
      <c r="P22" s="2228"/>
      <c r="Q22" s="2228"/>
      <c r="R22" s="2228"/>
      <c r="S22" s="2228"/>
      <c r="T22" s="2230"/>
      <c r="U22" s="2230"/>
      <c r="V22" s="2230"/>
      <c r="W22" s="2228"/>
      <c r="X22" s="2231"/>
      <c r="Y22" s="2232"/>
      <c r="Z22" s="2232"/>
      <c r="AA22" s="2227">
        <f t="shared" si="0"/>
        <v>0</v>
      </c>
      <c r="AB22" s="2231"/>
      <c r="AC22" s="2223" t="s">
        <v>1856</v>
      </c>
      <c r="AD22" s="2224" t="s">
        <v>2066</v>
      </c>
      <c r="AE22" s="2223"/>
      <c r="AF22" s="2223"/>
      <c r="AG22" s="2232"/>
      <c r="AH22" s="2233"/>
      <c r="AI22" s="2232"/>
      <c r="AJ22" s="2234"/>
      <c r="AK22" s="2229"/>
      <c r="AL22" s="2235"/>
      <c r="AM22" s="2236"/>
      <c r="AN22" s="2227"/>
      <c r="AO22" s="2236"/>
      <c r="AP22" s="2232"/>
      <c r="AQ22" s="2236"/>
      <c r="AR22" s="2232"/>
      <c r="AS22" s="2234"/>
      <c r="AT22" s="2232"/>
      <c r="AU22" s="2234"/>
      <c r="AV22" s="2232"/>
      <c r="AW22" s="2232"/>
      <c r="AX22" s="2232"/>
      <c r="AY22" s="2237"/>
      <c r="AZ22" s="2232"/>
      <c r="BA22" s="2232">
        <f t="shared" si="1"/>
        <v>27000</v>
      </c>
    </row>
    <row r="23" spans="1:53">
      <c r="A23" s="2226">
        <v>8</v>
      </c>
      <c r="B23" s="2168" t="s">
        <v>1878</v>
      </c>
      <c r="C23" s="2222" t="s">
        <v>1879</v>
      </c>
      <c r="D23" s="2223" t="s">
        <v>1848</v>
      </c>
      <c r="E23" s="2224" t="s">
        <v>2067</v>
      </c>
      <c r="F23" s="2223"/>
      <c r="G23" s="2223"/>
      <c r="H23" s="2225"/>
      <c r="I23" s="2226"/>
      <c r="J23" s="2226"/>
      <c r="K23" s="2227">
        <v>3100000</v>
      </c>
      <c r="L23" s="2227"/>
      <c r="M23" s="2228"/>
      <c r="N23" s="2228"/>
      <c r="O23" s="2229"/>
      <c r="P23" s="2228"/>
      <c r="Q23" s="2228"/>
      <c r="R23" s="2228"/>
      <c r="S23" s="2228"/>
      <c r="T23" s="2230"/>
      <c r="U23" s="2230"/>
      <c r="V23" s="2230"/>
      <c r="W23" s="2228"/>
      <c r="X23" s="2231"/>
      <c r="Y23" s="2232"/>
      <c r="Z23" s="2232"/>
      <c r="AA23" s="2227">
        <f t="shared" si="0"/>
        <v>0</v>
      </c>
      <c r="AB23" s="2231"/>
      <c r="AC23" s="2223" t="s">
        <v>1848</v>
      </c>
      <c r="AD23" s="2224" t="s">
        <v>2067</v>
      </c>
      <c r="AE23" s="2223"/>
      <c r="AF23" s="2223"/>
      <c r="AG23" s="2232"/>
      <c r="AH23" s="2233"/>
      <c r="AI23" s="2232"/>
      <c r="AJ23" s="2234"/>
      <c r="AK23" s="2229"/>
      <c r="AL23" s="2235"/>
      <c r="AM23" s="2236"/>
      <c r="AN23" s="2227"/>
      <c r="AO23" s="2236"/>
      <c r="AP23" s="2232"/>
      <c r="AQ23" s="2236"/>
      <c r="AR23" s="2232"/>
      <c r="AS23" s="2234"/>
      <c r="AT23" s="2232"/>
      <c r="AU23" s="2234"/>
      <c r="AV23" s="2232"/>
      <c r="AW23" s="2232"/>
      <c r="AX23" s="2232"/>
      <c r="AY23" s="2237"/>
      <c r="AZ23" s="2232"/>
      <c r="BA23" s="2232">
        <f t="shared" si="1"/>
        <v>3100000</v>
      </c>
    </row>
    <row r="24" spans="1:53">
      <c r="A24" s="2226">
        <v>9</v>
      </c>
      <c r="B24" s="2168" t="s">
        <v>1876</v>
      </c>
      <c r="C24" s="2222" t="s">
        <v>1877</v>
      </c>
      <c r="D24" s="2223" t="s">
        <v>1848</v>
      </c>
      <c r="E24" s="2224" t="s">
        <v>2067</v>
      </c>
      <c r="F24" s="2223"/>
      <c r="G24" s="2223"/>
      <c r="H24" s="2225"/>
      <c r="I24" s="2226"/>
      <c r="J24" s="2226"/>
      <c r="K24" s="2227">
        <v>3100000</v>
      </c>
      <c r="L24" s="2227"/>
      <c r="M24" s="2228"/>
      <c r="N24" s="2228"/>
      <c r="O24" s="2229"/>
      <c r="P24" s="2228"/>
      <c r="Q24" s="2228"/>
      <c r="R24" s="2228"/>
      <c r="S24" s="2228"/>
      <c r="T24" s="2230"/>
      <c r="U24" s="2230"/>
      <c r="V24" s="2230"/>
      <c r="W24" s="2228"/>
      <c r="X24" s="2231"/>
      <c r="Y24" s="2232"/>
      <c r="Z24" s="2232"/>
      <c r="AA24" s="2227">
        <f t="shared" si="0"/>
        <v>0</v>
      </c>
      <c r="AB24" s="2231"/>
      <c r="AC24" s="2223" t="s">
        <v>1848</v>
      </c>
      <c r="AD24" s="2224" t="s">
        <v>2067</v>
      </c>
      <c r="AE24" s="2223"/>
      <c r="AF24" s="2223"/>
      <c r="AG24" s="2232"/>
      <c r="AH24" s="2233"/>
      <c r="AI24" s="2232"/>
      <c r="AJ24" s="2234"/>
      <c r="AK24" s="2229"/>
      <c r="AL24" s="2235"/>
      <c r="AM24" s="2236"/>
      <c r="AN24" s="2227"/>
      <c r="AO24" s="2236"/>
      <c r="AP24" s="2232"/>
      <c r="AQ24" s="2236"/>
      <c r="AR24" s="2232"/>
      <c r="AS24" s="2234"/>
      <c r="AT24" s="2232"/>
      <c r="AU24" s="2234"/>
      <c r="AV24" s="2232"/>
      <c r="AW24" s="2232"/>
      <c r="AX24" s="2232"/>
      <c r="AY24" s="2237"/>
      <c r="AZ24" s="2232"/>
      <c r="BA24" s="2232">
        <f t="shared" si="1"/>
        <v>3100000</v>
      </c>
    </row>
    <row r="25" spans="1:53">
      <c r="A25" s="2226">
        <v>10</v>
      </c>
      <c r="B25" s="2168" t="s">
        <v>1874</v>
      </c>
      <c r="C25" s="2222" t="s">
        <v>1875</v>
      </c>
      <c r="D25" s="2223" t="s">
        <v>1848</v>
      </c>
      <c r="E25" s="2224" t="s">
        <v>2067</v>
      </c>
      <c r="F25" s="2223"/>
      <c r="G25" s="2223"/>
      <c r="H25" s="2225"/>
      <c r="I25" s="2226"/>
      <c r="J25" s="2226"/>
      <c r="K25" s="2227">
        <v>3100000</v>
      </c>
      <c r="L25" s="2227"/>
      <c r="M25" s="2228"/>
      <c r="N25" s="2228"/>
      <c r="O25" s="2229"/>
      <c r="P25" s="2228"/>
      <c r="Q25" s="2228"/>
      <c r="R25" s="2228"/>
      <c r="S25" s="2228"/>
      <c r="T25" s="2230"/>
      <c r="U25" s="2230"/>
      <c r="V25" s="2230"/>
      <c r="W25" s="2228"/>
      <c r="X25" s="2231"/>
      <c r="Y25" s="2232"/>
      <c r="Z25" s="2232"/>
      <c r="AA25" s="2227">
        <f t="shared" si="0"/>
        <v>0</v>
      </c>
      <c r="AB25" s="2231"/>
      <c r="AC25" s="2223" t="s">
        <v>1848</v>
      </c>
      <c r="AD25" s="2224" t="s">
        <v>2067</v>
      </c>
      <c r="AE25" s="2223"/>
      <c r="AF25" s="2223"/>
      <c r="AG25" s="2232"/>
      <c r="AH25" s="2233"/>
      <c r="AI25" s="2232"/>
      <c r="AJ25" s="2234"/>
      <c r="AK25" s="2229"/>
      <c r="AL25" s="2235"/>
      <c r="AM25" s="2236"/>
      <c r="AN25" s="2227"/>
      <c r="AO25" s="2236"/>
      <c r="AP25" s="2232"/>
      <c r="AQ25" s="2236"/>
      <c r="AR25" s="2232"/>
      <c r="AS25" s="2234"/>
      <c r="AT25" s="2232"/>
      <c r="AU25" s="2234"/>
      <c r="AV25" s="2232"/>
      <c r="AW25" s="2232"/>
      <c r="AX25" s="2232"/>
      <c r="AY25" s="2237"/>
      <c r="AZ25" s="2232"/>
      <c r="BA25" s="2232">
        <f t="shared" si="1"/>
        <v>3100000</v>
      </c>
    </row>
    <row r="26" spans="1:53">
      <c r="A26" s="2226">
        <v>11</v>
      </c>
      <c r="B26" s="2168" t="s">
        <v>1859</v>
      </c>
      <c r="C26" s="2222" t="s">
        <v>1860</v>
      </c>
      <c r="D26" s="2223" t="s">
        <v>1861</v>
      </c>
      <c r="E26" s="2224">
        <v>0</v>
      </c>
      <c r="F26" s="2223"/>
      <c r="G26" s="2223"/>
      <c r="H26" s="2225"/>
      <c r="I26" s="2226"/>
      <c r="J26" s="2226"/>
      <c r="K26" s="2227">
        <v>8</v>
      </c>
      <c r="L26" s="2227"/>
      <c r="M26" s="2228"/>
      <c r="N26" s="2228"/>
      <c r="O26" s="2229"/>
      <c r="P26" s="2228"/>
      <c r="Q26" s="2228"/>
      <c r="R26" s="2228"/>
      <c r="S26" s="2228"/>
      <c r="T26" s="2230"/>
      <c r="U26" s="2230"/>
      <c r="V26" s="2230"/>
      <c r="W26" s="2228"/>
      <c r="X26" s="2231"/>
      <c r="Y26" s="2232"/>
      <c r="Z26" s="2232"/>
      <c r="AA26" s="2227">
        <f t="shared" si="0"/>
        <v>0</v>
      </c>
      <c r="AB26" s="2231"/>
      <c r="AC26" s="2223" t="s">
        <v>1861</v>
      </c>
      <c r="AD26" s="2224">
        <v>0</v>
      </c>
      <c r="AE26" s="2223"/>
      <c r="AF26" s="2223"/>
      <c r="AG26" s="2232"/>
      <c r="AH26" s="2233"/>
      <c r="AI26" s="2232"/>
      <c r="AJ26" s="2234"/>
      <c r="AK26" s="2229"/>
      <c r="AL26" s="2235"/>
      <c r="AM26" s="2236"/>
      <c r="AN26" s="2227"/>
      <c r="AO26" s="2236"/>
      <c r="AP26" s="2232"/>
      <c r="AQ26" s="2236"/>
      <c r="AR26" s="2232"/>
      <c r="AS26" s="2234"/>
      <c r="AT26" s="2232"/>
      <c r="AU26" s="2234"/>
      <c r="AV26" s="2232"/>
      <c r="AW26" s="2232"/>
      <c r="AX26" s="2232"/>
      <c r="AY26" s="2237"/>
      <c r="AZ26" s="2232"/>
      <c r="BA26" s="2232">
        <f t="shared" si="1"/>
        <v>8</v>
      </c>
    </row>
    <row r="27" spans="1:53">
      <c r="A27" s="2226">
        <v>12</v>
      </c>
      <c r="B27" s="2168" t="s">
        <v>1894</v>
      </c>
      <c r="C27" s="2222" t="s">
        <v>1895</v>
      </c>
      <c r="D27" s="2223" t="s">
        <v>1856</v>
      </c>
      <c r="E27" s="2224" t="s">
        <v>2066</v>
      </c>
      <c r="F27" s="2223"/>
      <c r="G27" s="2223"/>
      <c r="H27" s="2225"/>
      <c r="I27" s="2226"/>
      <c r="J27" s="2226"/>
      <c r="K27" s="2227">
        <v>21000</v>
      </c>
      <c r="L27" s="2227"/>
      <c r="M27" s="2228"/>
      <c r="N27" s="2228"/>
      <c r="O27" s="2229"/>
      <c r="P27" s="2228"/>
      <c r="Q27" s="2228"/>
      <c r="R27" s="2228"/>
      <c r="S27" s="2228"/>
      <c r="T27" s="2230"/>
      <c r="U27" s="2230"/>
      <c r="V27" s="2230"/>
      <c r="W27" s="2228"/>
      <c r="X27" s="2231"/>
      <c r="Y27" s="2232"/>
      <c r="Z27" s="2232"/>
      <c r="AA27" s="2227">
        <f t="shared" si="0"/>
        <v>0</v>
      </c>
      <c r="AB27" s="2231"/>
      <c r="AC27" s="2223" t="s">
        <v>1856</v>
      </c>
      <c r="AD27" s="2224" t="s">
        <v>2066</v>
      </c>
      <c r="AE27" s="2223"/>
      <c r="AF27" s="2223"/>
      <c r="AG27" s="2232"/>
      <c r="AH27" s="2233"/>
      <c r="AI27" s="2232"/>
      <c r="AJ27" s="2234"/>
      <c r="AK27" s="2229"/>
      <c r="AL27" s="2235"/>
      <c r="AM27" s="2236"/>
      <c r="AN27" s="2227"/>
      <c r="AO27" s="2236"/>
      <c r="AP27" s="2232"/>
      <c r="AQ27" s="2236"/>
      <c r="AR27" s="2232"/>
      <c r="AS27" s="2234"/>
      <c r="AT27" s="2232"/>
      <c r="AU27" s="2234"/>
      <c r="AV27" s="2232"/>
      <c r="AW27" s="2232"/>
      <c r="AX27" s="2232"/>
      <c r="AY27" s="2237"/>
      <c r="AZ27" s="2232"/>
      <c r="BA27" s="2232">
        <f t="shared" si="1"/>
        <v>21000</v>
      </c>
    </row>
    <row r="28" spans="1:53">
      <c r="A28" s="2226">
        <v>13</v>
      </c>
      <c r="B28" s="2168" t="s">
        <v>1885</v>
      </c>
      <c r="C28" s="2222" t="s">
        <v>1886</v>
      </c>
      <c r="D28" s="2223" t="s">
        <v>1856</v>
      </c>
      <c r="E28" s="2224" t="s">
        <v>2066</v>
      </c>
      <c r="F28" s="2223"/>
      <c r="G28" s="2223"/>
      <c r="H28" s="2225"/>
      <c r="I28" s="2226"/>
      <c r="J28" s="2226"/>
      <c r="K28" s="2227">
        <v>22100</v>
      </c>
      <c r="L28" s="2227"/>
      <c r="M28" s="2228"/>
      <c r="N28" s="2228"/>
      <c r="O28" s="2229"/>
      <c r="P28" s="2228"/>
      <c r="Q28" s="2228"/>
      <c r="R28" s="2228"/>
      <c r="S28" s="2228"/>
      <c r="T28" s="2230"/>
      <c r="U28" s="2230"/>
      <c r="V28" s="2230"/>
      <c r="W28" s="2228"/>
      <c r="X28" s="2231"/>
      <c r="Y28" s="2232"/>
      <c r="Z28" s="2232"/>
      <c r="AA28" s="2227">
        <f t="shared" si="0"/>
        <v>0</v>
      </c>
      <c r="AB28" s="2231"/>
      <c r="AC28" s="2223" t="s">
        <v>1856</v>
      </c>
      <c r="AD28" s="2224" t="s">
        <v>2066</v>
      </c>
      <c r="AE28" s="2223"/>
      <c r="AF28" s="2223"/>
      <c r="AG28" s="2232"/>
      <c r="AH28" s="2233"/>
      <c r="AI28" s="2232"/>
      <c r="AJ28" s="2234"/>
      <c r="AK28" s="2229"/>
      <c r="AL28" s="2235"/>
      <c r="AM28" s="2236"/>
      <c r="AN28" s="2227"/>
      <c r="AO28" s="2236"/>
      <c r="AP28" s="2232"/>
      <c r="AQ28" s="2236"/>
      <c r="AR28" s="2232"/>
      <c r="AS28" s="2234"/>
      <c r="AT28" s="2232"/>
      <c r="AU28" s="2234"/>
      <c r="AV28" s="2232"/>
      <c r="AW28" s="2232"/>
      <c r="AX28" s="2232"/>
      <c r="AY28" s="2237"/>
      <c r="AZ28" s="2232"/>
      <c r="BA28" s="2232">
        <f t="shared" si="1"/>
        <v>22100</v>
      </c>
    </row>
    <row r="29" spans="1:53">
      <c r="A29" s="2226">
        <v>14</v>
      </c>
      <c r="B29" s="2168" t="s">
        <v>1892</v>
      </c>
      <c r="C29" s="2222" t="s">
        <v>1893</v>
      </c>
      <c r="D29" s="2223" t="s">
        <v>1856</v>
      </c>
      <c r="E29" s="2224" t="s">
        <v>2066</v>
      </c>
      <c r="F29" s="2223"/>
      <c r="G29" s="2223"/>
      <c r="H29" s="2225"/>
      <c r="I29" s="2226"/>
      <c r="J29" s="2226"/>
      <c r="K29" s="2227">
        <v>22000</v>
      </c>
      <c r="L29" s="2227"/>
      <c r="M29" s="2228"/>
      <c r="N29" s="2228"/>
      <c r="O29" s="2229"/>
      <c r="P29" s="2228"/>
      <c r="Q29" s="2228"/>
      <c r="R29" s="2228"/>
      <c r="S29" s="2228"/>
      <c r="T29" s="2230"/>
      <c r="U29" s="2230"/>
      <c r="V29" s="2230"/>
      <c r="W29" s="2228"/>
      <c r="X29" s="2231"/>
      <c r="Y29" s="2232"/>
      <c r="Z29" s="2232"/>
      <c r="AA29" s="2227">
        <f t="shared" si="0"/>
        <v>0</v>
      </c>
      <c r="AB29" s="2231"/>
      <c r="AC29" s="2223" t="s">
        <v>1856</v>
      </c>
      <c r="AD29" s="2224" t="s">
        <v>2066</v>
      </c>
      <c r="AE29" s="2223"/>
      <c r="AF29" s="2223"/>
      <c r="AG29" s="2232"/>
      <c r="AH29" s="2233"/>
      <c r="AI29" s="2232"/>
      <c r="AJ29" s="2234"/>
      <c r="AK29" s="2229"/>
      <c r="AL29" s="2235"/>
      <c r="AM29" s="2236"/>
      <c r="AN29" s="2227"/>
      <c r="AO29" s="2236"/>
      <c r="AP29" s="2232"/>
      <c r="AQ29" s="2236"/>
      <c r="AR29" s="2232"/>
      <c r="AS29" s="2234"/>
      <c r="AT29" s="2232"/>
      <c r="AU29" s="2234"/>
      <c r="AV29" s="2232"/>
      <c r="AW29" s="2232"/>
      <c r="AX29" s="2232"/>
      <c r="AY29" s="2237"/>
      <c r="AZ29" s="2232"/>
      <c r="BA29" s="2232">
        <f t="shared" si="1"/>
        <v>22000</v>
      </c>
    </row>
    <row r="30" spans="1:53">
      <c r="A30" s="2226">
        <v>15</v>
      </c>
      <c r="B30" s="2168" t="s">
        <v>1854</v>
      </c>
      <c r="C30" s="2222" t="s">
        <v>1855</v>
      </c>
      <c r="D30" s="2223" t="s">
        <v>1856</v>
      </c>
      <c r="E30" s="2224" t="s">
        <v>2066</v>
      </c>
      <c r="F30" s="2223"/>
      <c r="G30" s="2223"/>
      <c r="H30" s="2225"/>
      <c r="I30" s="2226"/>
      <c r="J30" s="2226"/>
      <c r="K30" s="2227">
        <v>1280</v>
      </c>
      <c r="L30" s="2227"/>
      <c r="M30" s="2228"/>
      <c r="N30" s="2228"/>
      <c r="O30" s="2229"/>
      <c r="P30" s="2228"/>
      <c r="Q30" s="2228"/>
      <c r="R30" s="2228"/>
      <c r="S30" s="2228"/>
      <c r="T30" s="2230"/>
      <c r="U30" s="2230"/>
      <c r="V30" s="2230"/>
      <c r="W30" s="2228"/>
      <c r="X30" s="2231"/>
      <c r="Y30" s="2232"/>
      <c r="Z30" s="2232"/>
      <c r="AA30" s="2227">
        <f t="shared" si="0"/>
        <v>0</v>
      </c>
      <c r="AB30" s="2231"/>
      <c r="AC30" s="2223" t="s">
        <v>1856</v>
      </c>
      <c r="AD30" s="2224" t="s">
        <v>2066</v>
      </c>
      <c r="AE30" s="2223"/>
      <c r="AF30" s="2223"/>
      <c r="AG30" s="2232"/>
      <c r="AH30" s="2233"/>
      <c r="AI30" s="2232"/>
      <c r="AJ30" s="2234"/>
      <c r="AK30" s="2229"/>
      <c r="AL30" s="2235"/>
      <c r="AM30" s="2236"/>
      <c r="AN30" s="2227"/>
      <c r="AO30" s="2236"/>
      <c r="AP30" s="2232"/>
      <c r="AQ30" s="2236"/>
      <c r="AR30" s="2232"/>
      <c r="AS30" s="2234"/>
      <c r="AT30" s="2232"/>
      <c r="AU30" s="2234"/>
      <c r="AV30" s="2232"/>
      <c r="AW30" s="2232"/>
      <c r="AX30" s="2232"/>
      <c r="AY30" s="2237"/>
      <c r="AZ30" s="2232"/>
      <c r="BA30" s="2232">
        <f t="shared" si="1"/>
        <v>1280</v>
      </c>
    </row>
    <row r="31" spans="1:53">
      <c r="A31" s="2226">
        <v>16</v>
      </c>
      <c r="B31" s="2168" t="s">
        <v>1901</v>
      </c>
      <c r="C31" s="2222" t="s">
        <v>1902</v>
      </c>
      <c r="D31" s="2223" t="s">
        <v>1856</v>
      </c>
      <c r="E31" s="2224" t="s">
        <v>2066</v>
      </c>
      <c r="F31" s="2223"/>
      <c r="G31" s="2223"/>
      <c r="H31" s="2225"/>
      <c r="I31" s="2226"/>
      <c r="J31" s="2226"/>
      <c r="K31" s="2227">
        <v>1380</v>
      </c>
      <c r="L31" s="2227"/>
      <c r="M31" s="2228"/>
      <c r="N31" s="2228"/>
      <c r="O31" s="2229"/>
      <c r="P31" s="2228"/>
      <c r="Q31" s="2228"/>
      <c r="R31" s="2228"/>
      <c r="S31" s="2228"/>
      <c r="T31" s="2230"/>
      <c r="U31" s="2230"/>
      <c r="V31" s="2230"/>
      <c r="W31" s="2228"/>
      <c r="X31" s="2231"/>
      <c r="Y31" s="2232"/>
      <c r="Z31" s="2232"/>
      <c r="AA31" s="2227">
        <f t="shared" si="0"/>
        <v>0</v>
      </c>
      <c r="AB31" s="2231"/>
      <c r="AC31" s="2223" t="s">
        <v>1856</v>
      </c>
      <c r="AD31" s="2224" t="s">
        <v>2066</v>
      </c>
      <c r="AE31" s="2223"/>
      <c r="AF31" s="2223"/>
      <c r="AG31" s="2232"/>
      <c r="AH31" s="2233"/>
      <c r="AI31" s="2232"/>
      <c r="AJ31" s="2234"/>
      <c r="AK31" s="2229"/>
      <c r="AL31" s="2235"/>
      <c r="AM31" s="2236"/>
      <c r="AN31" s="2227"/>
      <c r="AO31" s="2236"/>
      <c r="AP31" s="2232"/>
      <c r="AQ31" s="2236"/>
      <c r="AR31" s="2232"/>
      <c r="AS31" s="2234"/>
      <c r="AT31" s="2232"/>
      <c r="AU31" s="2234"/>
      <c r="AV31" s="2232"/>
      <c r="AW31" s="2232"/>
      <c r="AX31" s="2232"/>
      <c r="AY31" s="2237"/>
      <c r="AZ31" s="2232"/>
      <c r="BA31" s="2232">
        <f t="shared" si="1"/>
        <v>1380</v>
      </c>
    </row>
    <row r="32" spans="1:53">
      <c r="A32" s="2193"/>
      <c r="B32" s="2169"/>
      <c r="C32" s="2189"/>
      <c r="D32" s="2190"/>
      <c r="E32" s="2191"/>
      <c r="F32" s="2190"/>
      <c r="G32" s="2190"/>
      <c r="H32" s="2192"/>
      <c r="I32" s="2193"/>
      <c r="J32" s="2193"/>
      <c r="K32" s="2194"/>
      <c r="L32" s="2194"/>
      <c r="M32" s="2195"/>
      <c r="N32" s="2195"/>
      <c r="O32" s="2196"/>
      <c r="P32" s="2195"/>
      <c r="Q32" s="2195"/>
      <c r="R32" s="2195"/>
      <c r="S32" s="2195"/>
      <c r="T32" s="2197"/>
      <c r="U32" s="2197"/>
      <c r="V32" s="2197"/>
      <c r="W32" s="2195"/>
      <c r="X32" s="2198"/>
      <c r="Y32" s="2199"/>
      <c r="Z32" s="2199"/>
      <c r="AA32" s="2194"/>
      <c r="AB32" s="2198"/>
      <c r="AC32" s="2190"/>
      <c r="AD32" s="2191"/>
      <c r="AE32" s="2190"/>
      <c r="AF32" s="2190"/>
      <c r="AG32" s="2199"/>
      <c r="AH32" s="2200"/>
      <c r="AI32" s="2199"/>
      <c r="AJ32" s="2201"/>
      <c r="AK32" s="2196"/>
      <c r="AL32" s="2202"/>
      <c r="AM32" s="2203"/>
      <c r="AN32" s="2194"/>
      <c r="AO32" s="2203"/>
      <c r="AP32" s="2199"/>
      <c r="AQ32" s="2203"/>
      <c r="AR32" s="2199"/>
      <c r="AS32" s="2201"/>
      <c r="AT32" s="2199"/>
      <c r="AU32" s="2201"/>
      <c r="AV32" s="2199"/>
      <c r="AW32" s="2199"/>
      <c r="AX32" s="2199"/>
      <c r="AY32" s="2204"/>
      <c r="AZ32" s="2199"/>
      <c r="BA32" s="2199"/>
    </row>
    <row r="33" spans="1:53" ht="22.5">
      <c r="A33" s="1246" t="s">
        <v>182</v>
      </c>
      <c r="B33" s="1247"/>
      <c r="C33" s="1248"/>
      <c r="D33" s="1248"/>
      <c r="E33" s="1248"/>
      <c r="F33" s="1248"/>
      <c r="G33" s="1248"/>
      <c r="H33" s="1249"/>
      <c r="I33" s="1249"/>
      <c r="J33" s="1249"/>
      <c r="K33" s="1249"/>
      <c r="L33" s="1249"/>
      <c r="M33" s="1249"/>
      <c r="N33" s="1249"/>
      <c r="O33" s="1249"/>
      <c r="P33" s="1249"/>
      <c r="Q33" s="1249"/>
      <c r="R33" s="1249"/>
      <c r="S33" s="1249"/>
      <c r="T33" s="1249"/>
      <c r="U33" s="1249"/>
      <c r="V33" s="1249"/>
      <c r="W33" s="101"/>
      <c r="X33" s="1249"/>
      <c r="Y33" s="1249"/>
      <c r="Z33" s="1249"/>
      <c r="AA33" s="1249"/>
      <c r="AB33" s="1249"/>
      <c r="AC33" s="1248"/>
      <c r="AD33" s="1248"/>
      <c r="AE33" s="1248"/>
      <c r="AF33" s="1248"/>
      <c r="AG33" s="1249"/>
      <c r="AH33" s="1249"/>
      <c r="AI33" s="1249"/>
      <c r="AJ33" s="1249"/>
      <c r="AK33" s="1249"/>
      <c r="AM33" s="1249"/>
      <c r="AN33" s="1249"/>
      <c r="AO33" s="1249"/>
      <c r="AP33" s="1249"/>
      <c r="AQ33" s="1249"/>
      <c r="AR33" s="1249"/>
      <c r="AS33" s="1249"/>
      <c r="AT33" s="1249"/>
      <c r="AU33" s="1249"/>
      <c r="AV33" s="1249"/>
      <c r="AW33" s="1249"/>
      <c r="AX33" s="1249"/>
      <c r="AY33" s="1249"/>
      <c r="AZ33" s="1249"/>
      <c r="BA33" s="1249"/>
    </row>
    <row r="34" spans="1:53" ht="18.75">
      <c r="A34" s="1250" t="str">
        <f>Ts!H4&amp;Ts!K4</f>
        <v>CÔNG TRÌNH: NHÀ 01 TẦNG, TƯỜNG CHỊU LỰC 110MM, MÁI LỢP FIBRÔXIMĂNG, KHÔNG CÓ KHU VỆ SINH KHÉP KÍN</v>
      </c>
      <c r="B34" s="1247"/>
      <c r="C34" s="1251"/>
      <c r="D34" s="1251"/>
      <c r="E34" s="1251"/>
      <c r="F34" s="1251"/>
      <c r="G34" s="1251"/>
      <c r="H34" s="1127"/>
      <c r="I34" s="1127"/>
      <c r="J34" s="1127"/>
      <c r="K34" s="1127"/>
      <c r="L34" s="1127"/>
      <c r="M34" s="1127"/>
      <c r="N34" s="1127"/>
      <c r="O34" s="1127"/>
      <c r="P34" s="1127"/>
      <c r="Q34" s="1127"/>
      <c r="R34" s="1127"/>
      <c r="S34" s="1127"/>
      <c r="T34" s="1127"/>
      <c r="U34" s="1127"/>
      <c r="V34" s="1127"/>
      <c r="W34" s="6"/>
      <c r="X34" s="1127"/>
      <c r="Y34" s="1127"/>
      <c r="Z34" s="1127"/>
      <c r="AA34" s="1127"/>
      <c r="AB34" s="1127"/>
      <c r="AC34" s="1251"/>
      <c r="AD34" s="1251"/>
      <c r="AE34" s="1251"/>
      <c r="AF34" s="1251"/>
      <c r="AG34" s="1127"/>
      <c r="AH34" s="1127"/>
      <c r="AI34" s="1127"/>
      <c r="AJ34" s="1127"/>
      <c r="AK34" s="1127"/>
      <c r="AL34" s="1253"/>
      <c r="AM34" s="1127"/>
      <c r="AN34" s="1127"/>
      <c r="AO34" s="1249"/>
      <c r="AP34" s="1249"/>
      <c r="AQ34" s="1249"/>
      <c r="AR34" s="1249"/>
      <c r="AS34" s="1249"/>
      <c r="AT34" s="1249"/>
      <c r="AU34" s="1249"/>
      <c r="AV34" s="1249"/>
      <c r="AW34" s="1249"/>
      <c r="AX34" s="1249"/>
      <c r="AY34" s="1249"/>
      <c r="AZ34" s="1249"/>
      <c r="BA34" s="1249"/>
    </row>
    <row r="35" spans="1:53" ht="18.75">
      <c r="A35" s="1250" t="s">
        <v>2068</v>
      </c>
      <c r="B35" s="1247"/>
      <c r="C35" s="1251"/>
      <c r="D35" s="1251"/>
      <c r="E35" s="1251"/>
      <c r="F35" s="1251"/>
      <c r="G35" s="1251"/>
      <c r="H35" s="1127"/>
      <c r="I35" s="1127"/>
      <c r="J35" s="1127"/>
      <c r="K35" s="1127"/>
      <c r="L35" s="1127"/>
      <c r="M35" s="1127"/>
      <c r="N35" s="1127"/>
      <c r="O35" s="1127"/>
      <c r="P35" s="1127"/>
      <c r="Q35" s="1127"/>
      <c r="R35" s="1127"/>
      <c r="S35" s="1127"/>
      <c r="T35" s="1127"/>
      <c r="U35" s="1127"/>
      <c r="V35" s="1127"/>
      <c r="W35" s="6"/>
      <c r="X35" s="1127"/>
      <c r="Y35" s="1127"/>
      <c r="Z35" s="1127"/>
      <c r="AA35" s="1127"/>
      <c r="AB35" s="1127"/>
      <c r="AC35" s="1251"/>
      <c r="AD35" s="1251"/>
      <c r="AE35" s="1251"/>
      <c r="AF35" s="1251"/>
      <c r="AG35" s="1127"/>
      <c r="AH35" s="1127"/>
      <c r="AI35" s="1127"/>
      <c r="AJ35" s="1127"/>
      <c r="AK35" s="1127"/>
      <c r="AL35" s="1253"/>
      <c r="AM35" s="1127"/>
      <c r="AN35" s="1127"/>
      <c r="AO35" s="1249"/>
      <c r="AP35" s="1249"/>
      <c r="AQ35" s="1249"/>
      <c r="AR35" s="1249"/>
      <c r="AS35" s="1249"/>
      <c r="AT35" s="1249"/>
      <c r="AU35" s="1249"/>
      <c r="AV35" s="1249"/>
      <c r="AW35" s="1249"/>
      <c r="AX35" s="1249"/>
      <c r="AY35" s="1249"/>
      <c r="AZ35" s="1249"/>
      <c r="BA35" s="1249"/>
    </row>
    <row r="36" spans="1:53" hidden="1">
      <c r="A36" s="649"/>
      <c r="B36" s="1228"/>
      <c r="C36" s="1241"/>
      <c r="D36" s="1359" t="s">
        <v>897</v>
      </c>
      <c r="E36" s="1359"/>
      <c r="F36" s="1359"/>
      <c r="G36" s="1359"/>
      <c r="H36" s="1359"/>
      <c r="I36" s="1359"/>
      <c r="J36" s="1359"/>
      <c r="K36" s="1359"/>
      <c r="L36" s="1359"/>
      <c r="M36" s="1359"/>
      <c r="N36" s="1359"/>
      <c r="O36" s="1359"/>
      <c r="P36" s="1359"/>
      <c r="Q36" s="1359"/>
      <c r="R36" s="1359"/>
      <c r="S36" s="1359"/>
      <c r="T36" s="1359"/>
      <c r="U36" s="1359"/>
      <c r="V36" s="1359"/>
      <c r="W36" s="1359"/>
      <c r="X36" s="1359"/>
      <c r="Y36" s="1359"/>
      <c r="Z36" s="1359"/>
      <c r="AA36" s="1359"/>
      <c r="AB36" s="1360" t="s">
        <v>898</v>
      </c>
      <c r="AC36" s="1361"/>
      <c r="AD36" s="1361"/>
      <c r="AE36" s="1361"/>
      <c r="AF36" s="1361"/>
      <c r="AG36" s="1361"/>
      <c r="AH36" s="1361"/>
      <c r="AI36" s="1361"/>
      <c r="AJ36" s="1361"/>
      <c r="AK36" s="1361"/>
      <c r="AL36" s="1361"/>
      <c r="AM36" s="1361"/>
      <c r="AN36" s="1361"/>
      <c r="AO36" s="1361"/>
      <c r="AP36" s="1361"/>
      <c r="AQ36" s="1361"/>
      <c r="AR36" s="1361"/>
      <c r="AS36" s="1361"/>
      <c r="AT36" s="1361"/>
      <c r="AU36" s="1362"/>
      <c r="AV36" s="1361"/>
      <c r="AW36" s="1361"/>
      <c r="AX36" s="1363"/>
      <c r="AY36" s="1234"/>
      <c r="AZ36" s="1243"/>
      <c r="BA36" s="1243"/>
    </row>
    <row r="37" spans="1:53">
      <c r="A37" s="2542" t="s">
        <v>196</v>
      </c>
      <c r="B37" s="2542" t="s">
        <v>135</v>
      </c>
      <c r="C37" s="2542" t="s">
        <v>141</v>
      </c>
      <c r="D37" s="2542" t="s">
        <v>1166</v>
      </c>
      <c r="E37" s="2554" t="s">
        <v>142</v>
      </c>
      <c r="F37" s="2562" t="s">
        <v>1167</v>
      </c>
      <c r="G37" s="2562" t="s">
        <v>928</v>
      </c>
      <c r="H37" s="2576" t="s">
        <v>1169</v>
      </c>
      <c r="I37" s="2562" t="s">
        <v>867</v>
      </c>
      <c r="J37" s="2562" t="s">
        <v>20</v>
      </c>
      <c r="K37" s="2552" t="s">
        <v>1007</v>
      </c>
      <c r="L37" s="2562" t="s">
        <v>868</v>
      </c>
      <c r="M37" s="2562" t="s">
        <v>143</v>
      </c>
      <c r="N37" s="2562" t="s">
        <v>144</v>
      </c>
      <c r="O37" s="2560" t="s">
        <v>869</v>
      </c>
      <c r="P37" s="2573" t="s">
        <v>870</v>
      </c>
      <c r="Q37" s="2574"/>
      <c r="R37" s="2574"/>
      <c r="S37" s="2575"/>
      <c r="T37" s="2570" t="s">
        <v>871</v>
      </c>
      <c r="U37" s="2571"/>
      <c r="V37" s="2571"/>
      <c r="W37" s="2572"/>
      <c r="X37" s="2562" t="s">
        <v>900</v>
      </c>
      <c r="Y37" s="2552" t="s">
        <v>872</v>
      </c>
      <c r="Z37" s="2562" t="s">
        <v>873</v>
      </c>
      <c r="AA37" s="2562" t="s">
        <v>622</v>
      </c>
      <c r="AB37" s="2566" t="s">
        <v>1170</v>
      </c>
      <c r="AC37" s="2562" t="s">
        <v>1166</v>
      </c>
      <c r="AD37" s="2554" t="s">
        <v>142</v>
      </c>
      <c r="AE37" s="2562" t="s">
        <v>1168</v>
      </c>
      <c r="AF37" s="2562" t="s">
        <v>928</v>
      </c>
      <c r="AG37" s="2562" t="s">
        <v>874</v>
      </c>
      <c r="AH37" s="2562" t="s">
        <v>875</v>
      </c>
      <c r="AI37" s="2562" t="s">
        <v>876</v>
      </c>
      <c r="AJ37" s="2560" t="s">
        <v>877</v>
      </c>
      <c r="AK37" s="2560" t="s">
        <v>878</v>
      </c>
      <c r="AL37" s="2564" t="s">
        <v>879</v>
      </c>
      <c r="AM37" s="2554" t="s">
        <v>880</v>
      </c>
      <c r="AN37" s="2552" t="s">
        <v>881</v>
      </c>
      <c r="AO37" s="2554" t="s">
        <v>882</v>
      </c>
      <c r="AP37" s="2552" t="s">
        <v>883</v>
      </c>
      <c r="AQ37" s="2554" t="s">
        <v>884</v>
      </c>
      <c r="AR37" s="2552" t="s">
        <v>885</v>
      </c>
      <c r="AS37" s="2560" t="s">
        <v>886</v>
      </c>
      <c r="AT37" s="2552" t="s">
        <v>887</v>
      </c>
      <c r="AU37" s="2560" t="s">
        <v>888</v>
      </c>
      <c r="AV37" s="2552" t="s">
        <v>889</v>
      </c>
      <c r="AW37" s="2552" t="s">
        <v>890</v>
      </c>
      <c r="AX37" s="2552" t="s">
        <v>891</v>
      </c>
      <c r="AY37" s="2556" t="s">
        <v>899</v>
      </c>
      <c r="AZ37" s="2552" t="s">
        <v>892</v>
      </c>
      <c r="BA37" s="2558" t="s">
        <v>682</v>
      </c>
    </row>
    <row r="38" spans="1:53" ht="47.25">
      <c r="A38" s="2568"/>
      <c r="B38" s="2568"/>
      <c r="C38" s="2568"/>
      <c r="D38" s="2568"/>
      <c r="E38" s="2569"/>
      <c r="F38" s="2579"/>
      <c r="G38" s="2579"/>
      <c r="H38" s="2581"/>
      <c r="I38" s="2579"/>
      <c r="J38" s="2579"/>
      <c r="K38" s="2578"/>
      <c r="L38" s="2579"/>
      <c r="M38" s="2579"/>
      <c r="N38" s="2579"/>
      <c r="O38" s="2580"/>
      <c r="P38" s="1358" t="s">
        <v>893</v>
      </c>
      <c r="Q38" s="1358" t="s">
        <v>894</v>
      </c>
      <c r="R38" s="1358" t="s">
        <v>929</v>
      </c>
      <c r="S38" s="1358" t="s">
        <v>1005</v>
      </c>
      <c r="T38" s="1357" t="s">
        <v>895</v>
      </c>
      <c r="U38" s="1357" t="s">
        <v>896</v>
      </c>
      <c r="V38" s="1357" t="s">
        <v>930</v>
      </c>
      <c r="W38" s="1358" t="s">
        <v>1006</v>
      </c>
      <c r="X38" s="2579"/>
      <c r="Y38" s="2578"/>
      <c r="Z38" s="2579"/>
      <c r="AA38" s="2579"/>
      <c r="AB38" s="2582"/>
      <c r="AC38" s="2579"/>
      <c r="AD38" s="2569"/>
      <c r="AE38" s="2579"/>
      <c r="AF38" s="2579"/>
      <c r="AG38" s="2579"/>
      <c r="AH38" s="2579"/>
      <c r="AI38" s="2579"/>
      <c r="AJ38" s="2580"/>
      <c r="AK38" s="2580"/>
      <c r="AL38" s="2583"/>
      <c r="AM38" s="2569"/>
      <c r="AN38" s="2578"/>
      <c r="AO38" s="2569"/>
      <c r="AP38" s="2578"/>
      <c r="AQ38" s="2569"/>
      <c r="AR38" s="2578"/>
      <c r="AS38" s="2580"/>
      <c r="AT38" s="2578"/>
      <c r="AU38" s="2580"/>
      <c r="AV38" s="2578"/>
      <c r="AW38" s="2578"/>
      <c r="AX38" s="2578"/>
      <c r="AY38" s="2585"/>
      <c r="AZ38" s="2578"/>
      <c r="BA38" s="2584"/>
    </row>
    <row r="39" spans="1:53">
      <c r="A39" s="2210">
        <v>1</v>
      </c>
      <c r="B39" s="2205" t="s">
        <v>1903</v>
      </c>
      <c r="C39" s="2206" t="s">
        <v>1904</v>
      </c>
      <c r="D39" s="2207" t="s">
        <v>1848</v>
      </c>
      <c r="E39" s="2208" t="s">
        <v>2063</v>
      </c>
      <c r="F39" s="2207"/>
      <c r="G39" s="2207"/>
      <c r="H39" s="2209"/>
      <c r="I39" s="2210"/>
      <c r="J39" s="2210"/>
      <c r="K39" s="2211">
        <v>435000</v>
      </c>
      <c r="L39" s="2211"/>
      <c r="M39" s="2212"/>
      <c r="N39" s="2212"/>
      <c r="O39" s="2213"/>
      <c r="P39" s="2212"/>
      <c r="Q39" s="2212"/>
      <c r="R39" s="2212"/>
      <c r="S39" s="2212"/>
      <c r="T39" s="2214"/>
      <c r="U39" s="2214"/>
      <c r="V39" s="2214"/>
      <c r="W39" s="2212"/>
      <c r="X39" s="2215"/>
      <c r="Y39" s="2216"/>
      <c r="Z39" s="2216"/>
      <c r="AA39" s="2211">
        <f t="shared" ref="AA39:AA51" si="2">Z39</f>
        <v>0</v>
      </c>
      <c r="AB39" s="2215"/>
      <c r="AC39" s="2207" t="s">
        <v>1848</v>
      </c>
      <c r="AD39" s="2208" t="s">
        <v>2063</v>
      </c>
      <c r="AE39" s="2207"/>
      <c r="AF39" s="2207"/>
      <c r="AG39" s="2216"/>
      <c r="AH39" s="2217"/>
      <c r="AI39" s="2216"/>
      <c r="AJ39" s="2218"/>
      <c r="AK39" s="2213"/>
      <c r="AL39" s="2219"/>
      <c r="AM39" s="2220"/>
      <c r="AN39" s="2211"/>
      <c r="AO39" s="2220"/>
      <c r="AP39" s="2216"/>
      <c r="AQ39" s="2220"/>
      <c r="AR39" s="2216"/>
      <c r="AS39" s="2218"/>
      <c r="AT39" s="2216"/>
      <c r="AU39" s="2218"/>
      <c r="AV39" s="2216"/>
      <c r="AW39" s="2216"/>
      <c r="AX39" s="2216"/>
      <c r="AY39" s="2221"/>
      <c r="AZ39" s="2216"/>
      <c r="BA39" s="2216">
        <f t="shared" ref="BA39:BA51" si="3">K39+AA39+AW39+AX39+AZ39</f>
        <v>435000</v>
      </c>
    </row>
    <row r="40" spans="1:53">
      <c r="A40" s="2226">
        <v>2</v>
      </c>
      <c r="B40" s="2168" t="s">
        <v>1905</v>
      </c>
      <c r="C40" s="2222" t="s">
        <v>1906</v>
      </c>
      <c r="D40" s="2223" t="s">
        <v>1848</v>
      </c>
      <c r="E40" s="2224" t="s">
        <v>2064</v>
      </c>
      <c r="F40" s="2223"/>
      <c r="G40" s="2223"/>
      <c r="H40" s="2225"/>
      <c r="I40" s="2226"/>
      <c r="J40" s="2226"/>
      <c r="K40" s="2227">
        <v>165000</v>
      </c>
      <c r="L40" s="2227"/>
      <c r="M40" s="2228"/>
      <c r="N40" s="2228"/>
      <c r="O40" s="2229"/>
      <c r="P40" s="2228"/>
      <c r="Q40" s="2228"/>
      <c r="R40" s="2228"/>
      <c r="S40" s="2228"/>
      <c r="T40" s="2230"/>
      <c r="U40" s="2230"/>
      <c r="V40" s="2230"/>
      <c r="W40" s="2228"/>
      <c r="X40" s="2231"/>
      <c r="Y40" s="2232"/>
      <c r="Z40" s="2232"/>
      <c r="AA40" s="2227">
        <f t="shared" si="2"/>
        <v>0</v>
      </c>
      <c r="AB40" s="2231"/>
      <c r="AC40" s="2223" t="s">
        <v>1848</v>
      </c>
      <c r="AD40" s="2224" t="s">
        <v>2064</v>
      </c>
      <c r="AE40" s="2223"/>
      <c r="AF40" s="2223"/>
      <c r="AG40" s="2232"/>
      <c r="AH40" s="2233"/>
      <c r="AI40" s="2232"/>
      <c r="AJ40" s="2234"/>
      <c r="AK40" s="2229"/>
      <c r="AL40" s="2235"/>
      <c r="AM40" s="2236"/>
      <c r="AN40" s="2227"/>
      <c r="AO40" s="2236"/>
      <c r="AP40" s="2232"/>
      <c r="AQ40" s="2236"/>
      <c r="AR40" s="2232"/>
      <c r="AS40" s="2234"/>
      <c r="AT40" s="2232"/>
      <c r="AU40" s="2234"/>
      <c r="AV40" s="2232"/>
      <c r="AW40" s="2232"/>
      <c r="AX40" s="2232"/>
      <c r="AY40" s="2237"/>
      <c r="AZ40" s="2232"/>
      <c r="BA40" s="2232">
        <f t="shared" si="3"/>
        <v>165000</v>
      </c>
    </row>
    <row r="41" spans="1:53">
      <c r="A41" s="2226">
        <v>3</v>
      </c>
      <c r="B41" s="2168" t="s">
        <v>1880</v>
      </c>
      <c r="C41" s="2222" t="s">
        <v>1881</v>
      </c>
      <c r="D41" s="2223" t="s">
        <v>1856</v>
      </c>
      <c r="E41" s="2224" t="s">
        <v>2066</v>
      </c>
      <c r="F41" s="2223"/>
      <c r="G41" s="2223"/>
      <c r="H41" s="2225"/>
      <c r="I41" s="2226"/>
      <c r="J41" s="2226"/>
      <c r="K41" s="2227">
        <v>20000</v>
      </c>
      <c r="L41" s="2227"/>
      <c r="M41" s="2228"/>
      <c r="N41" s="2228"/>
      <c r="O41" s="2229"/>
      <c r="P41" s="2228"/>
      <c r="Q41" s="2228"/>
      <c r="R41" s="2228"/>
      <c r="S41" s="2228"/>
      <c r="T41" s="2230"/>
      <c r="U41" s="2230"/>
      <c r="V41" s="2230"/>
      <c r="W41" s="2228"/>
      <c r="X41" s="2231"/>
      <c r="Y41" s="2232"/>
      <c r="Z41" s="2232"/>
      <c r="AA41" s="2227">
        <f t="shared" si="2"/>
        <v>0</v>
      </c>
      <c r="AB41" s="2231"/>
      <c r="AC41" s="2223" t="s">
        <v>1856</v>
      </c>
      <c r="AD41" s="2224" t="s">
        <v>2066</v>
      </c>
      <c r="AE41" s="2223"/>
      <c r="AF41" s="2223"/>
      <c r="AG41" s="2232"/>
      <c r="AH41" s="2233"/>
      <c r="AI41" s="2232"/>
      <c r="AJ41" s="2234"/>
      <c r="AK41" s="2229"/>
      <c r="AL41" s="2235"/>
      <c r="AM41" s="2236"/>
      <c r="AN41" s="2227"/>
      <c r="AO41" s="2236"/>
      <c r="AP41" s="2232"/>
      <c r="AQ41" s="2236"/>
      <c r="AR41" s="2232"/>
      <c r="AS41" s="2234"/>
      <c r="AT41" s="2232"/>
      <c r="AU41" s="2234"/>
      <c r="AV41" s="2232"/>
      <c r="AW41" s="2232"/>
      <c r="AX41" s="2232"/>
      <c r="AY41" s="2237"/>
      <c r="AZ41" s="2232"/>
      <c r="BA41" s="2232">
        <f t="shared" si="3"/>
        <v>20000</v>
      </c>
    </row>
    <row r="42" spans="1:53">
      <c r="A42" s="2226">
        <v>4</v>
      </c>
      <c r="B42" s="2168" t="s">
        <v>1887</v>
      </c>
      <c r="C42" s="2222" t="s">
        <v>1888</v>
      </c>
      <c r="D42" s="2223" t="s">
        <v>1856</v>
      </c>
      <c r="E42" s="2224" t="s">
        <v>2066</v>
      </c>
      <c r="F42" s="2223"/>
      <c r="G42" s="2223"/>
      <c r="H42" s="2225"/>
      <c r="I42" s="2226"/>
      <c r="J42" s="2226"/>
      <c r="K42" s="2227">
        <v>27000</v>
      </c>
      <c r="L42" s="2227"/>
      <c r="M42" s="2228"/>
      <c r="N42" s="2228"/>
      <c r="O42" s="2229"/>
      <c r="P42" s="2228"/>
      <c r="Q42" s="2228"/>
      <c r="R42" s="2228"/>
      <c r="S42" s="2228"/>
      <c r="T42" s="2230"/>
      <c r="U42" s="2230"/>
      <c r="V42" s="2230"/>
      <c r="W42" s="2228"/>
      <c r="X42" s="2231"/>
      <c r="Y42" s="2232"/>
      <c r="Z42" s="2232"/>
      <c r="AA42" s="2227">
        <f t="shared" si="2"/>
        <v>0</v>
      </c>
      <c r="AB42" s="2231"/>
      <c r="AC42" s="2223" t="s">
        <v>1856</v>
      </c>
      <c r="AD42" s="2224" t="s">
        <v>2066</v>
      </c>
      <c r="AE42" s="2223"/>
      <c r="AF42" s="2223"/>
      <c r="AG42" s="2232"/>
      <c r="AH42" s="2233"/>
      <c r="AI42" s="2232"/>
      <c r="AJ42" s="2234"/>
      <c r="AK42" s="2229"/>
      <c r="AL42" s="2235"/>
      <c r="AM42" s="2236"/>
      <c r="AN42" s="2227"/>
      <c r="AO42" s="2236"/>
      <c r="AP42" s="2232"/>
      <c r="AQ42" s="2236"/>
      <c r="AR42" s="2232"/>
      <c r="AS42" s="2234"/>
      <c r="AT42" s="2232"/>
      <c r="AU42" s="2234"/>
      <c r="AV42" s="2232"/>
      <c r="AW42" s="2232"/>
      <c r="AX42" s="2232"/>
      <c r="AY42" s="2237"/>
      <c r="AZ42" s="2232"/>
      <c r="BA42" s="2232">
        <f t="shared" si="3"/>
        <v>27000</v>
      </c>
    </row>
    <row r="43" spans="1:53">
      <c r="A43" s="2226">
        <v>5</v>
      </c>
      <c r="B43" s="2168" t="s">
        <v>1878</v>
      </c>
      <c r="C43" s="2222" t="s">
        <v>1879</v>
      </c>
      <c r="D43" s="2223" t="s">
        <v>1848</v>
      </c>
      <c r="E43" s="2224" t="s">
        <v>2067</v>
      </c>
      <c r="F43" s="2223"/>
      <c r="G43" s="2223"/>
      <c r="H43" s="2225"/>
      <c r="I43" s="2226"/>
      <c r="J43" s="2226"/>
      <c r="K43" s="2227">
        <v>3100000</v>
      </c>
      <c r="L43" s="2227"/>
      <c r="M43" s="2228"/>
      <c r="N43" s="2228"/>
      <c r="O43" s="2229"/>
      <c r="P43" s="2228"/>
      <c r="Q43" s="2228"/>
      <c r="R43" s="2228"/>
      <c r="S43" s="2228"/>
      <c r="T43" s="2230"/>
      <c r="U43" s="2230"/>
      <c r="V43" s="2230"/>
      <c r="W43" s="2228"/>
      <c r="X43" s="2231"/>
      <c r="Y43" s="2232"/>
      <c r="Z43" s="2232"/>
      <c r="AA43" s="2227">
        <f t="shared" si="2"/>
        <v>0</v>
      </c>
      <c r="AB43" s="2231"/>
      <c r="AC43" s="2223" t="s">
        <v>1848</v>
      </c>
      <c r="AD43" s="2224" t="s">
        <v>2067</v>
      </c>
      <c r="AE43" s="2223"/>
      <c r="AF43" s="2223"/>
      <c r="AG43" s="2232"/>
      <c r="AH43" s="2233"/>
      <c r="AI43" s="2232"/>
      <c r="AJ43" s="2234"/>
      <c r="AK43" s="2229"/>
      <c r="AL43" s="2235"/>
      <c r="AM43" s="2236"/>
      <c r="AN43" s="2227"/>
      <c r="AO43" s="2236"/>
      <c r="AP43" s="2232"/>
      <c r="AQ43" s="2236"/>
      <c r="AR43" s="2232"/>
      <c r="AS43" s="2234"/>
      <c r="AT43" s="2232"/>
      <c r="AU43" s="2234"/>
      <c r="AV43" s="2232"/>
      <c r="AW43" s="2232"/>
      <c r="AX43" s="2232"/>
      <c r="AY43" s="2237"/>
      <c r="AZ43" s="2232"/>
      <c r="BA43" s="2232">
        <f t="shared" si="3"/>
        <v>3100000</v>
      </c>
    </row>
    <row r="44" spans="1:53">
      <c r="A44" s="2226">
        <v>6</v>
      </c>
      <c r="B44" s="2168" t="s">
        <v>1876</v>
      </c>
      <c r="C44" s="2222" t="s">
        <v>1877</v>
      </c>
      <c r="D44" s="2223" t="s">
        <v>1848</v>
      </c>
      <c r="E44" s="2224" t="s">
        <v>2067</v>
      </c>
      <c r="F44" s="2223"/>
      <c r="G44" s="2223"/>
      <c r="H44" s="2225"/>
      <c r="I44" s="2226"/>
      <c r="J44" s="2226"/>
      <c r="K44" s="2227">
        <v>3100000</v>
      </c>
      <c r="L44" s="2227"/>
      <c r="M44" s="2228"/>
      <c r="N44" s="2228"/>
      <c r="O44" s="2229"/>
      <c r="P44" s="2228"/>
      <c r="Q44" s="2228"/>
      <c r="R44" s="2228"/>
      <c r="S44" s="2228"/>
      <c r="T44" s="2230"/>
      <c r="U44" s="2230"/>
      <c r="V44" s="2230"/>
      <c r="W44" s="2228"/>
      <c r="X44" s="2231"/>
      <c r="Y44" s="2232"/>
      <c r="Z44" s="2232"/>
      <c r="AA44" s="2227">
        <f t="shared" si="2"/>
        <v>0</v>
      </c>
      <c r="AB44" s="2231"/>
      <c r="AC44" s="2223" t="s">
        <v>1848</v>
      </c>
      <c r="AD44" s="2224" t="s">
        <v>2067</v>
      </c>
      <c r="AE44" s="2223"/>
      <c r="AF44" s="2223"/>
      <c r="AG44" s="2232"/>
      <c r="AH44" s="2233"/>
      <c r="AI44" s="2232"/>
      <c r="AJ44" s="2234"/>
      <c r="AK44" s="2229"/>
      <c r="AL44" s="2235"/>
      <c r="AM44" s="2236"/>
      <c r="AN44" s="2227"/>
      <c r="AO44" s="2236"/>
      <c r="AP44" s="2232"/>
      <c r="AQ44" s="2236"/>
      <c r="AR44" s="2232"/>
      <c r="AS44" s="2234"/>
      <c r="AT44" s="2232"/>
      <c r="AU44" s="2234"/>
      <c r="AV44" s="2232"/>
      <c r="AW44" s="2232"/>
      <c r="AX44" s="2232"/>
      <c r="AY44" s="2237"/>
      <c r="AZ44" s="2232"/>
      <c r="BA44" s="2232">
        <f t="shared" si="3"/>
        <v>3100000</v>
      </c>
    </row>
    <row r="45" spans="1:53">
      <c r="A45" s="2226">
        <v>7</v>
      </c>
      <c r="B45" s="2168" t="s">
        <v>1874</v>
      </c>
      <c r="C45" s="2222" t="s">
        <v>1875</v>
      </c>
      <c r="D45" s="2223" t="s">
        <v>1848</v>
      </c>
      <c r="E45" s="2224" t="s">
        <v>2067</v>
      </c>
      <c r="F45" s="2223"/>
      <c r="G45" s="2223"/>
      <c r="H45" s="2225"/>
      <c r="I45" s="2226"/>
      <c r="J45" s="2226"/>
      <c r="K45" s="2227">
        <v>3100000</v>
      </c>
      <c r="L45" s="2227"/>
      <c r="M45" s="2228"/>
      <c r="N45" s="2228"/>
      <c r="O45" s="2229"/>
      <c r="P45" s="2228"/>
      <c r="Q45" s="2228"/>
      <c r="R45" s="2228"/>
      <c r="S45" s="2228"/>
      <c r="T45" s="2230"/>
      <c r="U45" s="2230"/>
      <c r="V45" s="2230"/>
      <c r="W45" s="2228"/>
      <c r="X45" s="2231"/>
      <c r="Y45" s="2232"/>
      <c r="Z45" s="2232"/>
      <c r="AA45" s="2227">
        <f t="shared" si="2"/>
        <v>0</v>
      </c>
      <c r="AB45" s="2231"/>
      <c r="AC45" s="2223" t="s">
        <v>1848</v>
      </c>
      <c r="AD45" s="2224" t="s">
        <v>2067</v>
      </c>
      <c r="AE45" s="2223"/>
      <c r="AF45" s="2223"/>
      <c r="AG45" s="2232"/>
      <c r="AH45" s="2233"/>
      <c r="AI45" s="2232"/>
      <c r="AJ45" s="2234"/>
      <c r="AK45" s="2229"/>
      <c r="AL45" s="2235"/>
      <c r="AM45" s="2236"/>
      <c r="AN45" s="2227"/>
      <c r="AO45" s="2236"/>
      <c r="AP45" s="2232"/>
      <c r="AQ45" s="2236"/>
      <c r="AR45" s="2232"/>
      <c r="AS45" s="2234"/>
      <c r="AT45" s="2232"/>
      <c r="AU45" s="2234"/>
      <c r="AV45" s="2232"/>
      <c r="AW45" s="2232"/>
      <c r="AX45" s="2232"/>
      <c r="AY45" s="2237"/>
      <c r="AZ45" s="2232"/>
      <c r="BA45" s="2232">
        <f t="shared" si="3"/>
        <v>3100000</v>
      </c>
    </row>
    <row r="46" spans="1:53">
      <c r="A46" s="2226">
        <v>8</v>
      </c>
      <c r="B46" s="2168" t="s">
        <v>1859</v>
      </c>
      <c r="C46" s="2222" t="s">
        <v>1860</v>
      </c>
      <c r="D46" s="2223" t="s">
        <v>1861</v>
      </c>
      <c r="E46" s="2224">
        <v>0</v>
      </c>
      <c r="F46" s="2223"/>
      <c r="G46" s="2223"/>
      <c r="H46" s="2225"/>
      <c r="I46" s="2226"/>
      <c r="J46" s="2226"/>
      <c r="K46" s="2227">
        <v>8</v>
      </c>
      <c r="L46" s="2227"/>
      <c r="M46" s="2228"/>
      <c r="N46" s="2228"/>
      <c r="O46" s="2229"/>
      <c r="P46" s="2228"/>
      <c r="Q46" s="2228"/>
      <c r="R46" s="2228"/>
      <c r="S46" s="2228"/>
      <c r="T46" s="2230"/>
      <c r="U46" s="2230"/>
      <c r="V46" s="2230"/>
      <c r="W46" s="2228"/>
      <c r="X46" s="2231"/>
      <c r="Y46" s="2232"/>
      <c r="Z46" s="2232"/>
      <c r="AA46" s="2227">
        <f t="shared" si="2"/>
        <v>0</v>
      </c>
      <c r="AB46" s="2231"/>
      <c r="AC46" s="2223" t="s">
        <v>1861</v>
      </c>
      <c r="AD46" s="2224">
        <v>0</v>
      </c>
      <c r="AE46" s="2223"/>
      <c r="AF46" s="2223"/>
      <c r="AG46" s="2232"/>
      <c r="AH46" s="2233"/>
      <c r="AI46" s="2232"/>
      <c r="AJ46" s="2234"/>
      <c r="AK46" s="2229"/>
      <c r="AL46" s="2235"/>
      <c r="AM46" s="2236"/>
      <c r="AN46" s="2227"/>
      <c r="AO46" s="2236"/>
      <c r="AP46" s="2232"/>
      <c r="AQ46" s="2236"/>
      <c r="AR46" s="2232"/>
      <c r="AS46" s="2234"/>
      <c r="AT46" s="2232"/>
      <c r="AU46" s="2234"/>
      <c r="AV46" s="2232"/>
      <c r="AW46" s="2232"/>
      <c r="AX46" s="2232"/>
      <c r="AY46" s="2237"/>
      <c r="AZ46" s="2232"/>
      <c r="BA46" s="2232">
        <f t="shared" si="3"/>
        <v>8</v>
      </c>
    </row>
    <row r="47" spans="1:53">
      <c r="A47" s="2226">
        <v>9</v>
      </c>
      <c r="B47" s="2168" t="s">
        <v>1894</v>
      </c>
      <c r="C47" s="2222" t="s">
        <v>1895</v>
      </c>
      <c r="D47" s="2223" t="s">
        <v>1856</v>
      </c>
      <c r="E47" s="2224" t="s">
        <v>2066</v>
      </c>
      <c r="F47" s="2223"/>
      <c r="G47" s="2223"/>
      <c r="H47" s="2225"/>
      <c r="I47" s="2226"/>
      <c r="J47" s="2226"/>
      <c r="K47" s="2227">
        <v>21000</v>
      </c>
      <c r="L47" s="2227"/>
      <c r="M47" s="2228"/>
      <c r="N47" s="2228"/>
      <c r="O47" s="2229"/>
      <c r="P47" s="2228"/>
      <c r="Q47" s="2228"/>
      <c r="R47" s="2228"/>
      <c r="S47" s="2228"/>
      <c r="T47" s="2230"/>
      <c r="U47" s="2230"/>
      <c r="V47" s="2230"/>
      <c r="W47" s="2228"/>
      <c r="X47" s="2231"/>
      <c r="Y47" s="2232"/>
      <c r="Z47" s="2232"/>
      <c r="AA47" s="2227">
        <f t="shared" si="2"/>
        <v>0</v>
      </c>
      <c r="AB47" s="2231"/>
      <c r="AC47" s="2223" t="s">
        <v>1856</v>
      </c>
      <c r="AD47" s="2224" t="s">
        <v>2066</v>
      </c>
      <c r="AE47" s="2223"/>
      <c r="AF47" s="2223"/>
      <c r="AG47" s="2232"/>
      <c r="AH47" s="2233"/>
      <c r="AI47" s="2232"/>
      <c r="AJ47" s="2234"/>
      <c r="AK47" s="2229"/>
      <c r="AL47" s="2235"/>
      <c r="AM47" s="2236"/>
      <c r="AN47" s="2227"/>
      <c r="AO47" s="2236"/>
      <c r="AP47" s="2232"/>
      <c r="AQ47" s="2236"/>
      <c r="AR47" s="2232"/>
      <c r="AS47" s="2234"/>
      <c r="AT47" s="2232"/>
      <c r="AU47" s="2234"/>
      <c r="AV47" s="2232"/>
      <c r="AW47" s="2232"/>
      <c r="AX47" s="2232"/>
      <c r="AY47" s="2237"/>
      <c r="AZ47" s="2232"/>
      <c r="BA47" s="2232">
        <f t="shared" si="3"/>
        <v>21000</v>
      </c>
    </row>
    <row r="48" spans="1:53">
      <c r="A48" s="2226">
        <v>10</v>
      </c>
      <c r="B48" s="2168" t="s">
        <v>1926</v>
      </c>
      <c r="C48" s="2222" t="s">
        <v>1927</v>
      </c>
      <c r="D48" s="2223" t="s">
        <v>1856</v>
      </c>
      <c r="E48" s="2224" t="s">
        <v>2066</v>
      </c>
      <c r="F48" s="2223"/>
      <c r="G48" s="2223"/>
      <c r="H48" s="2225"/>
      <c r="I48" s="2226"/>
      <c r="J48" s="2226"/>
      <c r="K48" s="2227">
        <v>22100</v>
      </c>
      <c r="L48" s="2227"/>
      <c r="M48" s="2228"/>
      <c r="N48" s="2228"/>
      <c r="O48" s="2229"/>
      <c r="P48" s="2228"/>
      <c r="Q48" s="2228"/>
      <c r="R48" s="2228"/>
      <c r="S48" s="2228"/>
      <c r="T48" s="2230"/>
      <c r="U48" s="2230"/>
      <c r="V48" s="2230"/>
      <c r="W48" s="2228"/>
      <c r="X48" s="2231"/>
      <c r="Y48" s="2232"/>
      <c r="Z48" s="2232"/>
      <c r="AA48" s="2227">
        <f t="shared" si="2"/>
        <v>0</v>
      </c>
      <c r="AB48" s="2231"/>
      <c r="AC48" s="2223" t="s">
        <v>1856</v>
      </c>
      <c r="AD48" s="2224" t="s">
        <v>2066</v>
      </c>
      <c r="AE48" s="2223"/>
      <c r="AF48" s="2223"/>
      <c r="AG48" s="2232"/>
      <c r="AH48" s="2233"/>
      <c r="AI48" s="2232"/>
      <c r="AJ48" s="2234"/>
      <c r="AK48" s="2229"/>
      <c r="AL48" s="2235"/>
      <c r="AM48" s="2236"/>
      <c r="AN48" s="2227"/>
      <c r="AO48" s="2236"/>
      <c r="AP48" s="2232"/>
      <c r="AQ48" s="2236"/>
      <c r="AR48" s="2232"/>
      <c r="AS48" s="2234"/>
      <c r="AT48" s="2232"/>
      <c r="AU48" s="2234"/>
      <c r="AV48" s="2232"/>
      <c r="AW48" s="2232"/>
      <c r="AX48" s="2232"/>
      <c r="AY48" s="2237"/>
      <c r="AZ48" s="2232"/>
      <c r="BA48" s="2232">
        <f t="shared" si="3"/>
        <v>22100</v>
      </c>
    </row>
    <row r="49" spans="1:53">
      <c r="A49" s="2226">
        <v>11</v>
      </c>
      <c r="B49" s="2168" t="s">
        <v>1885</v>
      </c>
      <c r="C49" s="2222" t="s">
        <v>1886</v>
      </c>
      <c r="D49" s="2223" t="s">
        <v>1856</v>
      </c>
      <c r="E49" s="2224" t="s">
        <v>2066</v>
      </c>
      <c r="F49" s="2223"/>
      <c r="G49" s="2223"/>
      <c r="H49" s="2225"/>
      <c r="I49" s="2226"/>
      <c r="J49" s="2226"/>
      <c r="K49" s="2227">
        <v>22100</v>
      </c>
      <c r="L49" s="2227"/>
      <c r="M49" s="2228"/>
      <c r="N49" s="2228"/>
      <c r="O49" s="2229"/>
      <c r="P49" s="2228"/>
      <c r="Q49" s="2228"/>
      <c r="R49" s="2228"/>
      <c r="S49" s="2228"/>
      <c r="T49" s="2230"/>
      <c r="U49" s="2230"/>
      <c r="V49" s="2230"/>
      <c r="W49" s="2228"/>
      <c r="X49" s="2231"/>
      <c r="Y49" s="2232"/>
      <c r="Z49" s="2232"/>
      <c r="AA49" s="2227">
        <f t="shared" si="2"/>
        <v>0</v>
      </c>
      <c r="AB49" s="2231"/>
      <c r="AC49" s="2223" t="s">
        <v>1856</v>
      </c>
      <c r="AD49" s="2224" t="s">
        <v>2066</v>
      </c>
      <c r="AE49" s="2223"/>
      <c r="AF49" s="2223"/>
      <c r="AG49" s="2232"/>
      <c r="AH49" s="2233"/>
      <c r="AI49" s="2232"/>
      <c r="AJ49" s="2234"/>
      <c r="AK49" s="2229"/>
      <c r="AL49" s="2235"/>
      <c r="AM49" s="2236"/>
      <c r="AN49" s="2227"/>
      <c r="AO49" s="2236"/>
      <c r="AP49" s="2232"/>
      <c r="AQ49" s="2236"/>
      <c r="AR49" s="2232"/>
      <c r="AS49" s="2234"/>
      <c r="AT49" s="2232"/>
      <c r="AU49" s="2234"/>
      <c r="AV49" s="2232"/>
      <c r="AW49" s="2232"/>
      <c r="AX49" s="2232"/>
      <c r="AY49" s="2237"/>
      <c r="AZ49" s="2232"/>
      <c r="BA49" s="2232">
        <f t="shared" si="3"/>
        <v>22100</v>
      </c>
    </row>
    <row r="50" spans="1:53">
      <c r="A50" s="2226">
        <v>12</v>
      </c>
      <c r="B50" s="2168" t="s">
        <v>1892</v>
      </c>
      <c r="C50" s="2222" t="s">
        <v>1893</v>
      </c>
      <c r="D50" s="2223" t="s">
        <v>1856</v>
      </c>
      <c r="E50" s="2224" t="s">
        <v>2066</v>
      </c>
      <c r="F50" s="2223"/>
      <c r="G50" s="2223"/>
      <c r="H50" s="2225"/>
      <c r="I50" s="2226"/>
      <c r="J50" s="2226"/>
      <c r="K50" s="2227">
        <v>22000</v>
      </c>
      <c r="L50" s="2227"/>
      <c r="M50" s="2228"/>
      <c r="N50" s="2228"/>
      <c r="O50" s="2229"/>
      <c r="P50" s="2228"/>
      <c r="Q50" s="2228"/>
      <c r="R50" s="2228"/>
      <c r="S50" s="2228"/>
      <c r="T50" s="2230"/>
      <c r="U50" s="2230"/>
      <c r="V50" s="2230"/>
      <c r="W50" s="2228"/>
      <c r="X50" s="2231"/>
      <c r="Y50" s="2232"/>
      <c r="Z50" s="2232"/>
      <c r="AA50" s="2227">
        <f t="shared" si="2"/>
        <v>0</v>
      </c>
      <c r="AB50" s="2231"/>
      <c r="AC50" s="2223" t="s">
        <v>1856</v>
      </c>
      <c r="AD50" s="2224" t="s">
        <v>2066</v>
      </c>
      <c r="AE50" s="2223"/>
      <c r="AF50" s="2223"/>
      <c r="AG50" s="2232"/>
      <c r="AH50" s="2233"/>
      <c r="AI50" s="2232"/>
      <c r="AJ50" s="2234"/>
      <c r="AK50" s="2229"/>
      <c r="AL50" s="2235"/>
      <c r="AM50" s="2236"/>
      <c r="AN50" s="2227"/>
      <c r="AO50" s="2236"/>
      <c r="AP50" s="2232"/>
      <c r="AQ50" s="2236"/>
      <c r="AR50" s="2232"/>
      <c r="AS50" s="2234"/>
      <c r="AT50" s="2232"/>
      <c r="AU50" s="2234"/>
      <c r="AV50" s="2232"/>
      <c r="AW50" s="2232"/>
      <c r="AX50" s="2232"/>
      <c r="AY50" s="2237"/>
      <c r="AZ50" s="2232"/>
      <c r="BA50" s="2232">
        <f t="shared" si="3"/>
        <v>22000</v>
      </c>
    </row>
    <row r="51" spans="1:53">
      <c r="A51" s="2226">
        <v>13</v>
      </c>
      <c r="B51" s="2168" t="s">
        <v>1901</v>
      </c>
      <c r="C51" s="2222" t="s">
        <v>1902</v>
      </c>
      <c r="D51" s="2223" t="s">
        <v>1856</v>
      </c>
      <c r="E51" s="2224" t="s">
        <v>2066</v>
      </c>
      <c r="F51" s="2223"/>
      <c r="G51" s="2223"/>
      <c r="H51" s="2225"/>
      <c r="I51" s="2226"/>
      <c r="J51" s="2226"/>
      <c r="K51" s="2227">
        <v>1380</v>
      </c>
      <c r="L51" s="2227"/>
      <c r="M51" s="2228"/>
      <c r="N51" s="2228"/>
      <c r="O51" s="2229"/>
      <c r="P51" s="2228"/>
      <c r="Q51" s="2228"/>
      <c r="R51" s="2228"/>
      <c r="S51" s="2228"/>
      <c r="T51" s="2230"/>
      <c r="U51" s="2230"/>
      <c r="V51" s="2230"/>
      <c r="W51" s="2228"/>
      <c r="X51" s="2231"/>
      <c r="Y51" s="2232"/>
      <c r="Z51" s="2232"/>
      <c r="AA51" s="2227">
        <f t="shared" si="2"/>
        <v>0</v>
      </c>
      <c r="AB51" s="2231"/>
      <c r="AC51" s="2223" t="s">
        <v>1856</v>
      </c>
      <c r="AD51" s="2224" t="s">
        <v>2066</v>
      </c>
      <c r="AE51" s="2223"/>
      <c r="AF51" s="2223"/>
      <c r="AG51" s="2232"/>
      <c r="AH51" s="2233"/>
      <c r="AI51" s="2232"/>
      <c r="AJ51" s="2234"/>
      <c r="AK51" s="2229"/>
      <c r="AL51" s="2235"/>
      <c r="AM51" s="2236"/>
      <c r="AN51" s="2227"/>
      <c r="AO51" s="2236"/>
      <c r="AP51" s="2232"/>
      <c r="AQ51" s="2236"/>
      <c r="AR51" s="2232"/>
      <c r="AS51" s="2234"/>
      <c r="AT51" s="2232"/>
      <c r="AU51" s="2234"/>
      <c r="AV51" s="2232"/>
      <c r="AW51" s="2232"/>
      <c r="AX51" s="2232"/>
      <c r="AY51" s="2237"/>
      <c r="AZ51" s="2232"/>
      <c r="BA51" s="2232">
        <f t="shared" si="3"/>
        <v>1380</v>
      </c>
    </row>
    <row r="52" spans="1:53">
      <c r="A52" s="2193"/>
      <c r="B52" s="2169"/>
      <c r="C52" s="2189"/>
      <c r="D52" s="2190"/>
      <c r="E52" s="2191"/>
      <c r="F52" s="2190"/>
      <c r="G52" s="2190"/>
      <c r="H52" s="2192"/>
      <c r="I52" s="2193"/>
      <c r="J52" s="2193"/>
      <c r="K52" s="2194"/>
      <c r="L52" s="2194"/>
      <c r="M52" s="2195"/>
      <c r="N52" s="2195"/>
      <c r="O52" s="2196"/>
      <c r="P52" s="2195"/>
      <c r="Q52" s="2195"/>
      <c r="R52" s="2195"/>
      <c r="S52" s="2195"/>
      <c r="T52" s="2197"/>
      <c r="U52" s="2197"/>
      <c r="V52" s="2197"/>
      <c r="W52" s="2195"/>
      <c r="X52" s="2198"/>
      <c r="Y52" s="2199"/>
      <c r="Z52" s="2199"/>
      <c r="AA52" s="2194"/>
      <c r="AB52" s="2198"/>
      <c r="AC52" s="2190"/>
      <c r="AD52" s="2191"/>
      <c r="AE52" s="2190"/>
      <c r="AF52" s="2190"/>
      <c r="AG52" s="2199"/>
      <c r="AH52" s="2200"/>
      <c r="AI52" s="2199"/>
      <c r="AJ52" s="2201"/>
      <c r="AK52" s="2196"/>
      <c r="AL52" s="2202"/>
      <c r="AM52" s="2203"/>
      <c r="AN52" s="2194"/>
      <c r="AO52" s="2203"/>
      <c r="AP52" s="2199"/>
      <c r="AQ52" s="2203"/>
      <c r="AR52" s="2199"/>
      <c r="AS52" s="2201"/>
      <c r="AT52" s="2199"/>
      <c r="AU52" s="2201"/>
      <c r="AV52" s="2199"/>
      <c r="AW52" s="2199"/>
      <c r="AX52" s="2199"/>
      <c r="AY52" s="2204"/>
      <c r="AZ52" s="2199"/>
      <c r="BA52" s="2199"/>
    </row>
    <row r="53" spans="1:53" ht="22.5">
      <c r="A53" s="1246" t="s">
        <v>182</v>
      </c>
      <c r="B53" s="1247"/>
      <c r="C53" s="1248"/>
      <c r="D53" s="1248"/>
      <c r="E53" s="1248"/>
      <c r="F53" s="1248"/>
      <c r="G53" s="1248"/>
      <c r="H53" s="1249"/>
      <c r="I53" s="1249"/>
      <c r="J53" s="1249"/>
      <c r="K53" s="1249"/>
      <c r="L53" s="1249"/>
      <c r="M53" s="1249"/>
      <c r="N53" s="1249"/>
      <c r="O53" s="1249"/>
      <c r="P53" s="1249"/>
      <c r="Q53" s="1249"/>
      <c r="R53" s="1249"/>
      <c r="S53" s="1249"/>
      <c r="T53" s="1249"/>
      <c r="U53" s="1249"/>
      <c r="V53" s="1249"/>
      <c r="W53" s="101"/>
      <c r="X53" s="1249"/>
      <c r="Y53" s="1249"/>
      <c r="Z53" s="1249"/>
      <c r="AA53" s="1249"/>
      <c r="AB53" s="1249"/>
      <c r="AC53" s="1248"/>
      <c r="AD53" s="1248"/>
      <c r="AE53" s="1248"/>
      <c r="AF53" s="1248"/>
      <c r="AG53" s="1249"/>
      <c r="AH53" s="1249"/>
      <c r="AI53" s="1249"/>
      <c r="AJ53" s="1249"/>
      <c r="AK53" s="1249"/>
      <c r="AM53" s="1249"/>
      <c r="AN53" s="1249"/>
      <c r="AO53" s="1249"/>
      <c r="AP53" s="1249"/>
      <c r="AQ53" s="1249"/>
      <c r="AR53" s="1249"/>
      <c r="AS53" s="1249"/>
      <c r="AT53" s="1249"/>
      <c r="AU53" s="1249"/>
      <c r="AV53" s="1249"/>
      <c r="AW53" s="1249"/>
      <c r="AX53" s="1249"/>
      <c r="AY53" s="1249"/>
      <c r="AZ53" s="1249"/>
      <c r="BA53" s="1249"/>
    </row>
    <row r="54" spans="1:53" ht="18.75">
      <c r="A54" s="1250" t="str">
        <f>Ts!H4&amp;Ts!K4</f>
        <v>CÔNG TRÌNH: NHÀ 01 TẦNG, TƯỜNG CHỊU LỰC 110MM, MÁI LỢP FIBRÔXIMĂNG, KHÔNG CÓ KHU VỆ SINH KHÉP KÍN</v>
      </c>
      <c r="B54" s="1247"/>
      <c r="C54" s="1251"/>
      <c r="D54" s="1251"/>
      <c r="E54" s="1251"/>
      <c r="F54" s="1251"/>
      <c r="G54" s="1251"/>
      <c r="H54" s="1127"/>
      <c r="I54" s="1127"/>
      <c r="J54" s="1127"/>
      <c r="K54" s="1127"/>
      <c r="L54" s="1127"/>
      <c r="M54" s="1127"/>
      <c r="N54" s="1127"/>
      <c r="O54" s="1127"/>
      <c r="P54" s="1127"/>
      <c r="Q54" s="1127"/>
      <c r="R54" s="1127"/>
      <c r="S54" s="1127"/>
      <c r="T54" s="1127"/>
      <c r="U54" s="1127"/>
      <c r="V54" s="1127"/>
      <c r="W54" s="6"/>
      <c r="X54" s="1127"/>
      <c r="Y54" s="1127"/>
      <c r="Z54" s="1127"/>
      <c r="AA54" s="1127"/>
      <c r="AB54" s="1127"/>
      <c r="AC54" s="1251"/>
      <c r="AD54" s="1251"/>
      <c r="AE54" s="1251"/>
      <c r="AF54" s="1251"/>
      <c r="AG54" s="1127"/>
      <c r="AH54" s="1127"/>
      <c r="AI54" s="1127"/>
      <c r="AJ54" s="1127"/>
      <c r="AK54" s="1127"/>
      <c r="AL54" s="1253"/>
      <c r="AM54" s="1127"/>
      <c r="AN54" s="1127"/>
      <c r="AO54" s="1249"/>
      <c r="AP54" s="1249"/>
      <c r="AQ54" s="1249"/>
      <c r="AR54" s="1249"/>
      <c r="AS54" s="1249"/>
      <c r="AT54" s="1249"/>
      <c r="AU54" s="1249"/>
      <c r="AV54" s="1249"/>
      <c r="AW54" s="1249"/>
      <c r="AX54" s="1249"/>
      <c r="AY54" s="1249"/>
      <c r="AZ54" s="1249"/>
      <c r="BA54" s="1249"/>
    </row>
    <row r="55" spans="1:53" ht="18.75">
      <c r="A55" s="1250" t="s">
        <v>2069</v>
      </c>
      <c r="B55" s="1247"/>
      <c r="C55" s="1251"/>
      <c r="D55" s="1251"/>
      <c r="E55" s="1251"/>
      <c r="F55" s="1251"/>
      <c r="G55" s="1251"/>
      <c r="H55" s="1127"/>
      <c r="I55" s="1127"/>
      <c r="J55" s="1127"/>
      <c r="K55" s="1127"/>
      <c r="L55" s="1127"/>
      <c r="M55" s="1127"/>
      <c r="N55" s="1127"/>
      <c r="O55" s="1127"/>
      <c r="P55" s="1127"/>
      <c r="Q55" s="1127"/>
      <c r="R55" s="1127"/>
      <c r="S55" s="1127"/>
      <c r="T55" s="1127"/>
      <c r="U55" s="1127"/>
      <c r="V55" s="1127"/>
      <c r="W55" s="6"/>
      <c r="X55" s="1127"/>
      <c r="Y55" s="1127"/>
      <c r="Z55" s="1127"/>
      <c r="AA55" s="1127"/>
      <c r="AB55" s="1127"/>
      <c r="AC55" s="1251"/>
      <c r="AD55" s="1251"/>
      <c r="AE55" s="1251"/>
      <c r="AF55" s="1251"/>
      <c r="AG55" s="1127"/>
      <c r="AH55" s="1127"/>
      <c r="AI55" s="1127"/>
      <c r="AJ55" s="1127"/>
      <c r="AK55" s="1127"/>
      <c r="AL55" s="1253"/>
      <c r="AM55" s="1127"/>
      <c r="AN55" s="1127"/>
      <c r="AO55" s="1249"/>
      <c r="AP55" s="1249"/>
      <c r="AQ55" s="1249"/>
      <c r="AR55" s="1249"/>
      <c r="AS55" s="1249"/>
      <c r="AT55" s="1249"/>
      <c r="AU55" s="1249"/>
      <c r="AV55" s="1249"/>
      <c r="AW55" s="1249"/>
      <c r="AX55" s="1249"/>
      <c r="AY55" s="1249"/>
      <c r="AZ55" s="1249"/>
      <c r="BA55" s="1249"/>
    </row>
    <row r="56" spans="1:53" hidden="1">
      <c r="A56" s="649"/>
      <c r="B56" s="1228"/>
      <c r="C56" s="1241"/>
      <c r="D56" s="1359" t="s">
        <v>897</v>
      </c>
      <c r="E56" s="1359"/>
      <c r="F56" s="1359"/>
      <c r="G56" s="1359"/>
      <c r="H56" s="1359"/>
      <c r="I56" s="1359"/>
      <c r="J56" s="1359"/>
      <c r="K56" s="1359"/>
      <c r="L56" s="1359"/>
      <c r="M56" s="1359"/>
      <c r="N56" s="1359"/>
      <c r="O56" s="1359"/>
      <c r="P56" s="1359"/>
      <c r="Q56" s="1359"/>
      <c r="R56" s="1359"/>
      <c r="S56" s="1359"/>
      <c r="T56" s="1359"/>
      <c r="U56" s="1359"/>
      <c r="V56" s="1359"/>
      <c r="W56" s="1359"/>
      <c r="X56" s="1359"/>
      <c r="Y56" s="1359"/>
      <c r="Z56" s="1359"/>
      <c r="AA56" s="1359"/>
      <c r="AB56" s="1360" t="s">
        <v>898</v>
      </c>
      <c r="AC56" s="1361"/>
      <c r="AD56" s="1361"/>
      <c r="AE56" s="1361"/>
      <c r="AF56" s="1361"/>
      <c r="AG56" s="1361"/>
      <c r="AH56" s="1361"/>
      <c r="AI56" s="1361"/>
      <c r="AJ56" s="1361"/>
      <c r="AK56" s="1361"/>
      <c r="AL56" s="1361"/>
      <c r="AM56" s="1361"/>
      <c r="AN56" s="1361"/>
      <c r="AO56" s="1361"/>
      <c r="AP56" s="1361"/>
      <c r="AQ56" s="1361"/>
      <c r="AR56" s="1361"/>
      <c r="AS56" s="1361"/>
      <c r="AT56" s="1361"/>
      <c r="AU56" s="1362"/>
      <c r="AV56" s="1361"/>
      <c r="AW56" s="1361"/>
      <c r="AX56" s="1363"/>
      <c r="AY56" s="1234"/>
      <c r="AZ56" s="1243"/>
      <c r="BA56" s="1243"/>
    </row>
    <row r="57" spans="1:53">
      <c r="A57" s="2542" t="s">
        <v>196</v>
      </c>
      <c r="B57" s="2542" t="s">
        <v>135</v>
      </c>
      <c r="C57" s="2542" t="s">
        <v>141</v>
      </c>
      <c r="D57" s="2542" t="s">
        <v>1166</v>
      </c>
      <c r="E57" s="2554" t="s">
        <v>142</v>
      </c>
      <c r="F57" s="2562" t="s">
        <v>1167</v>
      </c>
      <c r="G57" s="2562" t="s">
        <v>928</v>
      </c>
      <c r="H57" s="2576" t="s">
        <v>1169</v>
      </c>
      <c r="I57" s="2562" t="s">
        <v>867</v>
      </c>
      <c r="J57" s="2562" t="s">
        <v>20</v>
      </c>
      <c r="K57" s="2552" t="s">
        <v>1007</v>
      </c>
      <c r="L57" s="2562" t="s">
        <v>868</v>
      </c>
      <c r="M57" s="2562" t="s">
        <v>143</v>
      </c>
      <c r="N57" s="2562" t="s">
        <v>144</v>
      </c>
      <c r="O57" s="2560" t="s">
        <v>869</v>
      </c>
      <c r="P57" s="2573" t="s">
        <v>870</v>
      </c>
      <c r="Q57" s="2574"/>
      <c r="R57" s="2574"/>
      <c r="S57" s="2575"/>
      <c r="T57" s="2570" t="s">
        <v>871</v>
      </c>
      <c r="U57" s="2571"/>
      <c r="V57" s="2571"/>
      <c r="W57" s="2572"/>
      <c r="X57" s="2562" t="s">
        <v>900</v>
      </c>
      <c r="Y57" s="2552" t="s">
        <v>872</v>
      </c>
      <c r="Z57" s="2562" t="s">
        <v>873</v>
      </c>
      <c r="AA57" s="2562" t="s">
        <v>622</v>
      </c>
      <c r="AB57" s="2566" t="s">
        <v>1170</v>
      </c>
      <c r="AC57" s="2562" t="s">
        <v>1166</v>
      </c>
      <c r="AD57" s="2554" t="s">
        <v>142</v>
      </c>
      <c r="AE57" s="2562" t="s">
        <v>1168</v>
      </c>
      <c r="AF57" s="2562" t="s">
        <v>928</v>
      </c>
      <c r="AG57" s="2562" t="s">
        <v>874</v>
      </c>
      <c r="AH57" s="2562" t="s">
        <v>875</v>
      </c>
      <c r="AI57" s="2562" t="s">
        <v>876</v>
      </c>
      <c r="AJ57" s="2560" t="s">
        <v>877</v>
      </c>
      <c r="AK57" s="2560" t="s">
        <v>878</v>
      </c>
      <c r="AL57" s="2564" t="s">
        <v>879</v>
      </c>
      <c r="AM57" s="2554" t="s">
        <v>880</v>
      </c>
      <c r="AN57" s="2552" t="s">
        <v>881</v>
      </c>
      <c r="AO57" s="2554" t="s">
        <v>882</v>
      </c>
      <c r="AP57" s="2552" t="s">
        <v>883</v>
      </c>
      <c r="AQ57" s="2554" t="s">
        <v>884</v>
      </c>
      <c r="AR57" s="2552" t="s">
        <v>885</v>
      </c>
      <c r="AS57" s="2560" t="s">
        <v>886</v>
      </c>
      <c r="AT57" s="2552" t="s">
        <v>887</v>
      </c>
      <c r="AU57" s="2560" t="s">
        <v>888</v>
      </c>
      <c r="AV57" s="2552" t="s">
        <v>889</v>
      </c>
      <c r="AW57" s="2552" t="s">
        <v>890</v>
      </c>
      <c r="AX57" s="2552" t="s">
        <v>891</v>
      </c>
      <c r="AY57" s="2556" t="s">
        <v>899</v>
      </c>
      <c r="AZ57" s="2552" t="s">
        <v>892</v>
      </c>
      <c r="BA57" s="2558" t="s">
        <v>682</v>
      </c>
    </row>
    <row r="58" spans="1:53" ht="47.25">
      <c r="A58" s="2568"/>
      <c r="B58" s="2568"/>
      <c r="C58" s="2568"/>
      <c r="D58" s="2568"/>
      <c r="E58" s="2569"/>
      <c r="F58" s="2579"/>
      <c r="G58" s="2579"/>
      <c r="H58" s="2581"/>
      <c r="I58" s="2579"/>
      <c r="J58" s="2579"/>
      <c r="K58" s="2578"/>
      <c r="L58" s="2579"/>
      <c r="M58" s="2579"/>
      <c r="N58" s="2579"/>
      <c r="O58" s="2580"/>
      <c r="P58" s="1358" t="s">
        <v>893</v>
      </c>
      <c r="Q58" s="1358" t="s">
        <v>894</v>
      </c>
      <c r="R58" s="1358" t="s">
        <v>929</v>
      </c>
      <c r="S58" s="1358" t="s">
        <v>1005</v>
      </c>
      <c r="T58" s="1357" t="s">
        <v>895</v>
      </c>
      <c r="U58" s="1357" t="s">
        <v>896</v>
      </c>
      <c r="V58" s="1357" t="s">
        <v>930</v>
      </c>
      <c r="W58" s="1358" t="s">
        <v>1006</v>
      </c>
      <c r="X58" s="2579"/>
      <c r="Y58" s="2578"/>
      <c r="Z58" s="2579"/>
      <c r="AA58" s="2579"/>
      <c r="AB58" s="2582"/>
      <c r="AC58" s="2579"/>
      <c r="AD58" s="2569"/>
      <c r="AE58" s="2579"/>
      <c r="AF58" s="2579"/>
      <c r="AG58" s="2579"/>
      <c r="AH58" s="2579"/>
      <c r="AI58" s="2579"/>
      <c r="AJ58" s="2580"/>
      <c r="AK58" s="2580"/>
      <c r="AL58" s="2583"/>
      <c r="AM58" s="2569"/>
      <c r="AN58" s="2578"/>
      <c r="AO58" s="2569"/>
      <c r="AP58" s="2578"/>
      <c r="AQ58" s="2569"/>
      <c r="AR58" s="2578"/>
      <c r="AS58" s="2580"/>
      <c r="AT58" s="2578"/>
      <c r="AU58" s="2580"/>
      <c r="AV58" s="2578"/>
      <c r="AW58" s="2578"/>
      <c r="AX58" s="2578"/>
      <c r="AY58" s="2585"/>
      <c r="AZ58" s="2578"/>
      <c r="BA58" s="2584"/>
    </row>
    <row r="59" spans="1:53" ht="31.5">
      <c r="A59" s="2210">
        <v>1</v>
      </c>
      <c r="B59" s="2205" t="s">
        <v>1935</v>
      </c>
      <c r="C59" s="2206" t="s">
        <v>1936</v>
      </c>
      <c r="D59" s="2207" t="s">
        <v>1848</v>
      </c>
      <c r="E59" s="2208" t="s">
        <v>2070</v>
      </c>
      <c r="F59" s="2207"/>
      <c r="G59" s="2207"/>
      <c r="H59" s="2209"/>
      <c r="I59" s="2210"/>
      <c r="J59" s="2210"/>
      <c r="K59" s="2211">
        <v>85000</v>
      </c>
      <c r="L59" s="2211"/>
      <c r="M59" s="2212"/>
      <c r="N59" s="2212"/>
      <c r="O59" s="2213"/>
      <c r="P59" s="2212"/>
      <c r="Q59" s="2212"/>
      <c r="R59" s="2212"/>
      <c r="S59" s="2212"/>
      <c r="T59" s="2214"/>
      <c r="U59" s="2214"/>
      <c r="V59" s="2214"/>
      <c r="W59" s="2212"/>
      <c r="X59" s="2215"/>
      <c r="Y59" s="2216"/>
      <c r="Z59" s="2216"/>
      <c r="AA59" s="2211">
        <f>Z59</f>
        <v>0</v>
      </c>
      <c r="AB59" s="2215"/>
      <c r="AC59" s="2207" t="s">
        <v>1848</v>
      </c>
      <c r="AD59" s="2208" t="s">
        <v>2070</v>
      </c>
      <c r="AE59" s="2207"/>
      <c r="AF59" s="2207"/>
      <c r="AG59" s="2216"/>
      <c r="AH59" s="2217"/>
      <c r="AI59" s="2216"/>
      <c r="AJ59" s="2218"/>
      <c r="AK59" s="2213"/>
      <c r="AL59" s="2219"/>
      <c r="AM59" s="2220"/>
      <c r="AN59" s="2211"/>
      <c r="AO59" s="2220"/>
      <c r="AP59" s="2216"/>
      <c r="AQ59" s="2220"/>
      <c r="AR59" s="2216"/>
      <c r="AS59" s="2218"/>
      <c r="AT59" s="2216"/>
      <c r="AU59" s="2218"/>
      <c r="AV59" s="2216"/>
      <c r="AW59" s="2216"/>
      <c r="AX59" s="2216"/>
      <c r="AY59" s="2221"/>
      <c r="AZ59" s="2216"/>
      <c r="BA59" s="2216">
        <f>K59+AA59+AW59+AX59+AZ59</f>
        <v>85000</v>
      </c>
    </row>
    <row r="60" spans="1:53" ht="31.5">
      <c r="A60" s="2226">
        <v>2</v>
      </c>
      <c r="B60" s="2168" t="s">
        <v>1937</v>
      </c>
      <c r="C60" s="2222" t="s">
        <v>1938</v>
      </c>
      <c r="D60" s="2223" t="s">
        <v>1939</v>
      </c>
      <c r="E60" s="2224">
        <v>0</v>
      </c>
      <c r="F60" s="2223"/>
      <c r="G60" s="2223"/>
      <c r="H60" s="2225"/>
      <c r="I60" s="2226"/>
      <c r="J60" s="2226"/>
      <c r="K60" s="2227">
        <v>893</v>
      </c>
      <c r="L60" s="2227"/>
      <c r="M60" s="2228"/>
      <c r="N60" s="2228"/>
      <c r="O60" s="2229"/>
      <c r="P60" s="2228"/>
      <c r="Q60" s="2228"/>
      <c r="R60" s="2228"/>
      <c r="S60" s="2228"/>
      <c r="T60" s="2230"/>
      <c r="U60" s="2230"/>
      <c r="V60" s="2230"/>
      <c r="W60" s="2228"/>
      <c r="X60" s="2231"/>
      <c r="Y60" s="2232"/>
      <c r="Z60" s="2232"/>
      <c r="AA60" s="2227">
        <f>Z60</f>
        <v>0</v>
      </c>
      <c r="AB60" s="2231"/>
      <c r="AC60" s="2223" t="s">
        <v>1939</v>
      </c>
      <c r="AD60" s="2224">
        <v>0</v>
      </c>
      <c r="AE60" s="2223"/>
      <c r="AF60" s="2223"/>
      <c r="AG60" s="2232"/>
      <c r="AH60" s="2233"/>
      <c r="AI60" s="2232"/>
      <c r="AJ60" s="2234"/>
      <c r="AK60" s="2229"/>
      <c r="AL60" s="2235"/>
      <c r="AM60" s="2236"/>
      <c r="AN60" s="2227"/>
      <c r="AO60" s="2236"/>
      <c r="AP60" s="2232"/>
      <c r="AQ60" s="2236"/>
      <c r="AR60" s="2232"/>
      <c r="AS60" s="2234"/>
      <c r="AT60" s="2232"/>
      <c r="AU60" s="2234"/>
      <c r="AV60" s="2232"/>
      <c r="AW60" s="2232"/>
      <c r="AX60" s="2232"/>
      <c r="AY60" s="2237"/>
      <c r="AZ60" s="2232"/>
      <c r="BA60" s="2232">
        <f>K60+AA60+AW60+AX60+AZ60</f>
        <v>893</v>
      </c>
    </row>
    <row r="61" spans="1:53">
      <c r="A61" s="2226">
        <v>3</v>
      </c>
      <c r="B61" s="2168" t="s">
        <v>1859</v>
      </c>
      <c r="C61" s="2222" t="s">
        <v>1860</v>
      </c>
      <c r="D61" s="2223" t="s">
        <v>1861</v>
      </c>
      <c r="E61" s="2224">
        <v>0</v>
      </c>
      <c r="F61" s="2223"/>
      <c r="G61" s="2223"/>
      <c r="H61" s="2225"/>
      <c r="I61" s="2226"/>
      <c r="J61" s="2226"/>
      <c r="K61" s="2227">
        <v>8</v>
      </c>
      <c r="L61" s="2227"/>
      <c r="M61" s="2228"/>
      <c r="N61" s="2228"/>
      <c r="O61" s="2229"/>
      <c r="P61" s="2228"/>
      <c r="Q61" s="2228"/>
      <c r="R61" s="2228"/>
      <c r="S61" s="2228"/>
      <c r="T61" s="2230"/>
      <c r="U61" s="2230"/>
      <c r="V61" s="2230"/>
      <c r="W61" s="2228"/>
      <c r="X61" s="2231"/>
      <c r="Y61" s="2232"/>
      <c r="Z61" s="2232"/>
      <c r="AA61" s="2227">
        <f>Z61</f>
        <v>0</v>
      </c>
      <c r="AB61" s="2231"/>
      <c r="AC61" s="2223" t="s">
        <v>1861</v>
      </c>
      <c r="AD61" s="2224">
        <v>0</v>
      </c>
      <c r="AE61" s="2223"/>
      <c r="AF61" s="2223"/>
      <c r="AG61" s="2232"/>
      <c r="AH61" s="2233"/>
      <c r="AI61" s="2232"/>
      <c r="AJ61" s="2234"/>
      <c r="AK61" s="2229"/>
      <c r="AL61" s="2235"/>
      <c r="AM61" s="2236"/>
      <c r="AN61" s="2227"/>
      <c r="AO61" s="2236"/>
      <c r="AP61" s="2232"/>
      <c r="AQ61" s="2236"/>
      <c r="AR61" s="2232"/>
      <c r="AS61" s="2234"/>
      <c r="AT61" s="2232"/>
      <c r="AU61" s="2234"/>
      <c r="AV61" s="2232"/>
      <c r="AW61" s="2232"/>
      <c r="AX61" s="2232"/>
      <c r="AY61" s="2237"/>
      <c r="AZ61" s="2232"/>
      <c r="BA61" s="2232">
        <f>K61+AA61+AW61+AX61+AZ61</f>
        <v>8</v>
      </c>
    </row>
    <row r="62" spans="1:53">
      <c r="A62" s="2226">
        <v>4</v>
      </c>
      <c r="B62" s="2168" t="s">
        <v>1901</v>
      </c>
      <c r="C62" s="2222" t="s">
        <v>1902</v>
      </c>
      <c r="D62" s="2223" t="s">
        <v>1856</v>
      </c>
      <c r="E62" s="2224" t="s">
        <v>2066</v>
      </c>
      <c r="F62" s="2223"/>
      <c r="G62" s="2223"/>
      <c r="H62" s="2225"/>
      <c r="I62" s="2226"/>
      <c r="J62" s="2226"/>
      <c r="K62" s="2227">
        <v>1380</v>
      </c>
      <c r="L62" s="2227"/>
      <c r="M62" s="2228"/>
      <c r="N62" s="2228"/>
      <c r="O62" s="2229"/>
      <c r="P62" s="2228"/>
      <c r="Q62" s="2228"/>
      <c r="R62" s="2228"/>
      <c r="S62" s="2228"/>
      <c r="T62" s="2230"/>
      <c r="U62" s="2230"/>
      <c r="V62" s="2230"/>
      <c r="W62" s="2228"/>
      <c r="X62" s="2231"/>
      <c r="Y62" s="2232"/>
      <c r="Z62" s="2232"/>
      <c r="AA62" s="2227">
        <f>Z62</f>
        <v>0</v>
      </c>
      <c r="AB62" s="2231"/>
      <c r="AC62" s="2223" t="s">
        <v>1856</v>
      </c>
      <c r="AD62" s="2224" t="s">
        <v>2066</v>
      </c>
      <c r="AE62" s="2223"/>
      <c r="AF62" s="2223"/>
      <c r="AG62" s="2232"/>
      <c r="AH62" s="2233"/>
      <c r="AI62" s="2232"/>
      <c r="AJ62" s="2234"/>
      <c r="AK62" s="2229"/>
      <c r="AL62" s="2235"/>
      <c r="AM62" s="2236"/>
      <c r="AN62" s="2227"/>
      <c r="AO62" s="2236"/>
      <c r="AP62" s="2232"/>
      <c r="AQ62" s="2236"/>
      <c r="AR62" s="2232"/>
      <c r="AS62" s="2234"/>
      <c r="AT62" s="2232"/>
      <c r="AU62" s="2234"/>
      <c r="AV62" s="2232"/>
      <c r="AW62" s="2232"/>
      <c r="AX62" s="2232"/>
      <c r="AY62" s="2237"/>
      <c r="AZ62" s="2232"/>
      <c r="BA62" s="2232">
        <f>K62+AA62+AW62+AX62+AZ62</f>
        <v>1380</v>
      </c>
    </row>
    <row r="63" spans="1:53">
      <c r="A63" s="2193"/>
      <c r="B63" s="2169"/>
      <c r="C63" s="2189"/>
      <c r="D63" s="2190"/>
      <c r="E63" s="2191"/>
      <c r="F63" s="2190"/>
      <c r="G63" s="2190"/>
      <c r="H63" s="2192"/>
      <c r="I63" s="2193"/>
      <c r="J63" s="2193"/>
      <c r="K63" s="2194"/>
      <c r="L63" s="2194"/>
      <c r="M63" s="2195"/>
      <c r="N63" s="2195"/>
      <c r="O63" s="2196"/>
      <c r="P63" s="2195"/>
      <c r="Q63" s="2195"/>
      <c r="R63" s="2195"/>
      <c r="S63" s="2195"/>
      <c r="T63" s="2197"/>
      <c r="U63" s="2197"/>
      <c r="V63" s="2197"/>
      <c r="W63" s="2195"/>
      <c r="X63" s="2198"/>
      <c r="Y63" s="2199"/>
      <c r="Z63" s="2199"/>
      <c r="AA63" s="2194"/>
      <c r="AB63" s="2198"/>
      <c r="AC63" s="2190"/>
      <c r="AD63" s="2191"/>
      <c r="AE63" s="2190"/>
      <c r="AF63" s="2190"/>
      <c r="AG63" s="2199"/>
      <c r="AH63" s="2200"/>
      <c r="AI63" s="2199"/>
      <c r="AJ63" s="2201"/>
      <c r="AK63" s="2196"/>
      <c r="AL63" s="2202"/>
      <c r="AM63" s="2203"/>
      <c r="AN63" s="2194"/>
      <c r="AO63" s="2203"/>
      <c r="AP63" s="2199"/>
      <c r="AQ63" s="2203"/>
      <c r="AR63" s="2199"/>
      <c r="AS63" s="2201"/>
      <c r="AT63" s="2199"/>
      <c r="AU63" s="2201"/>
      <c r="AV63" s="2199"/>
      <c r="AW63" s="2199"/>
      <c r="AX63" s="2199"/>
      <c r="AY63" s="2204"/>
      <c r="AZ63" s="2199"/>
      <c r="BA63" s="2199"/>
    </row>
    <row r="64" spans="1:53" ht="22.5">
      <c r="A64" s="1246" t="s">
        <v>182</v>
      </c>
      <c r="B64" s="1247"/>
      <c r="C64" s="1248"/>
      <c r="D64" s="1248"/>
      <c r="E64" s="1248"/>
      <c r="F64" s="1248"/>
      <c r="G64" s="1248"/>
      <c r="H64" s="1249"/>
      <c r="I64" s="1249"/>
      <c r="J64" s="1249"/>
      <c r="K64" s="1249"/>
      <c r="L64" s="1249"/>
      <c r="M64" s="1249"/>
      <c r="N64" s="1249"/>
      <c r="O64" s="1249"/>
      <c r="P64" s="1249"/>
      <c r="Q64" s="1249"/>
      <c r="R64" s="1249"/>
      <c r="S64" s="1249"/>
      <c r="T64" s="1249"/>
      <c r="U64" s="1249"/>
      <c r="V64" s="1249"/>
      <c r="W64" s="101"/>
      <c r="X64" s="1249"/>
      <c r="Y64" s="1249"/>
      <c r="Z64" s="1249"/>
      <c r="AA64" s="1249"/>
      <c r="AB64" s="1249"/>
      <c r="AC64" s="1248"/>
      <c r="AD64" s="1248"/>
      <c r="AE64" s="1248"/>
      <c r="AF64" s="1248"/>
      <c r="AG64" s="1249"/>
      <c r="AH64" s="1249"/>
      <c r="AI64" s="1249"/>
      <c r="AJ64" s="1249"/>
      <c r="AK64" s="1249"/>
      <c r="AM64" s="1249"/>
      <c r="AN64" s="1249"/>
      <c r="AO64" s="1249"/>
      <c r="AP64" s="1249"/>
      <c r="AQ64" s="1249"/>
      <c r="AR64" s="1249"/>
      <c r="AS64" s="1249"/>
      <c r="AT64" s="1249"/>
      <c r="AU64" s="1249"/>
      <c r="AV64" s="1249"/>
      <c r="AW64" s="1249"/>
      <c r="AX64" s="1249"/>
      <c r="AY64" s="1249"/>
      <c r="AZ64" s="1249"/>
      <c r="BA64" s="1249"/>
    </row>
    <row r="65" spans="1:53" ht="18.75">
      <c r="A65" s="1250" t="str">
        <f>Ts!H4&amp;Ts!K4</f>
        <v>CÔNG TRÌNH: NHÀ 01 TẦNG, TƯỜNG CHỊU LỰC 110MM, MÁI LỢP FIBRÔXIMĂNG, KHÔNG CÓ KHU VỆ SINH KHÉP KÍN</v>
      </c>
      <c r="B65" s="1247"/>
      <c r="C65" s="1251"/>
      <c r="D65" s="1251"/>
      <c r="E65" s="1251"/>
      <c r="F65" s="1251"/>
      <c r="G65" s="1251"/>
      <c r="H65" s="1127"/>
      <c r="I65" s="1127"/>
      <c r="J65" s="1127"/>
      <c r="K65" s="1127"/>
      <c r="L65" s="1127"/>
      <c r="M65" s="1127"/>
      <c r="N65" s="1127"/>
      <c r="O65" s="1127"/>
      <c r="P65" s="1127"/>
      <c r="Q65" s="1127"/>
      <c r="R65" s="1127"/>
      <c r="S65" s="1127"/>
      <c r="T65" s="1127"/>
      <c r="U65" s="1127"/>
      <c r="V65" s="1127"/>
      <c r="W65" s="6"/>
      <c r="X65" s="1127"/>
      <c r="Y65" s="1127"/>
      <c r="Z65" s="1127"/>
      <c r="AA65" s="1127"/>
      <c r="AB65" s="1127"/>
      <c r="AC65" s="1251"/>
      <c r="AD65" s="1251"/>
      <c r="AE65" s="1251"/>
      <c r="AF65" s="1251"/>
      <c r="AG65" s="1127"/>
      <c r="AH65" s="1127"/>
      <c r="AI65" s="1127"/>
      <c r="AJ65" s="1127"/>
      <c r="AK65" s="1127"/>
      <c r="AL65" s="1253"/>
      <c r="AM65" s="1127"/>
      <c r="AN65" s="1127"/>
      <c r="AO65" s="1249"/>
      <c r="AP65" s="1249"/>
      <c r="AQ65" s="1249"/>
      <c r="AR65" s="1249"/>
      <c r="AS65" s="1249"/>
      <c r="AT65" s="1249"/>
      <c r="AU65" s="1249"/>
      <c r="AV65" s="1249"/>
      <c r="AW65" s="1249"/>
      <c r="AX65" s="1249"/>
      <c r="AY65" s="1249"/>
      <c r="AZ65" s="1249"/>
      <c r="BA65" s="1249"/>
    </row>
    <row r="66" spans="1:53" ht="18.75">
      <c r="A66" s="1250" t="s">
        <v>2071</v>
      </c>
      <c r="B66" s="1247"/>
      <c r="C66" s="1251"/>
      <c r="D66" s="1251"/>
      <c r="E66" s="1251"/>
      <c r="F66" s="1251"/>
      <c r="G66" s="1251"/>
      <c r="H66" s="1127"/>
      <c r="I66" s="1127"/>
      <c r="J66" s="1127"/>
      <c r="K66" s="1127"/>
      <c r="L66" s="1127"/>
      <c r="M66" s="1127"/>
      <c r="N66" s="1127"/>
      <c r="O66" s="1127"/>
      <c r="P66" s="1127"/>
      <c r="Q66" s="1127"/>
      <c r="R66" s="1127"/>
      <c r="S66" s="1127"/>
      <c r="T66" s="1127"/>
      <c r="U66" s="1127"/>
      <c r="V66" s="1127"/>
      <c r="W66" s="6"/>
      <c r="X66" s="1127"/>
      <c r="Y66" s="1127"/>
      <c r="Z66" s="1127"/>
      <c r="AA66" s="1127"/>
      <c r="AB66" s="1127"/>
      <c r="AC66" s="1251"/>
      <c r="AD66" s="1251"/>
      <c r="AE66" s="1251"/>
      <c r="AF66" s="1251"/>
      <c r="AG66" s="1127"/>
      <c r="AH66" s="1127"/>
      <c r="AI66" s="1127"/>
      <c r="AJ66" s="1127"/>
      <c r="AK66" s="1127"/>
      <c r="AL66" s="1253"/>
      <c r="AM66" s="1127"/>
      <c r="AN66" s="1127"/>
      <c r="AO66" s="1249"/>
      <c r="AP66" s="1249"/>
      <c r="AQ66" s="1249"/>
      <c r="AR66" s="1249"/>
      <c r="AS66" s="1249"/>
      <c r="AT66" s="1249"/>
      <c r="AU66" s="1249"/>
      <c r="AV66" s="1249"/>
      <c r="AW66" s="1249"/>
      <c r="AX66" s="1249"/>
      <c r="AY66" s="1249"/>
      <c r="AZ66" s="1249"/>
      <c r="BA66" s="1249"/>
    </row>
    <row r="67" spans="1:53" hidden="1">
      <c r="A67" s="649"/>
      <c r="B67" s="1228"/>
      <c r="C67" s="1241"/>
      <c r="D67" s="1359" t="s">
        <v>897</v>
      </c>
      <c r="E67" s="1359"/>
      <c r="F67" s="1359"/>
      <c r="G67" s="1359"/>
      <c r="H67" s="1359"/>
      <c r="I67" s="1359"/>
      <c r="J67" s="1359"/>
      <c r="K67" s="1359"/>
      <c r="L67" s="1359"/>
      <c r="M67" s="1359"/>
      <c r="N67" s="1359"/>
      <c r="O67" s="1359"/>
      <c r="P67" s="1359"/>
      <c r="Q67" s="1359"/>
      <c r="R67" s="1359"/>
      <c r="S67" s="1359"/>
      <c r="T67" s="1359"/>
      <c r="U67" s="1359"/>
      <c r="V67" s="1359"/>
      <c r="W67" s="1359"/>
      <c r="X67" s="1359"/>
      <c r="Y67" s="1359"/>
      <c r="Z67" s="1359"/>
      <c r="AA67" s="1359"/>
      <c r="AB67" s="1360" t="s">
        <v>898</v>
      </c>
      <c r="AC67" s="1361"/>
      <c r="AD67" s="1361"/>
      <c r="AE67" s="1361"/>
      <c r="AF67" s="1361"/>
      <c r="AG67" s="1361"/>
      <c r="AH67" s="1361"/>
      <c r="AI67" s="1361"/>
      <c r="AJ67" s="1361"/>
      <c r="AK67" s="1361"/>
      <c r="AL67" s="1361"/>
      <c r="AM67" s="1361"/>
      <c r="AN67" s="1361"/>
      <c r="AO67" s="1361"/>
      <c r="AP67" s="1361"/>
      <c r="AQ67" s="1361"/>
      <c r="AR67" s="1361"/>
      <c r="AS67" s="1361"/>
      <c r="AT67" s="1361"/>
      <c r="AU67" s="1362"/>
      <c r="AV67" s="1361"/>
      <c r="AW67" s="1361"/>
      <c r="AX67" s="1363"/>
      <c r="AY67" s="1234"/>
      <c r="AZ67" s="1243"/>
      <c r="BA67" s="1243"/>
    </row>
    <row r="68" spans="1:53">
      <c r="A68" s="2542" t="s">
        <v>196</v>
      </c>
      <c r="B68" s="2542" t="s">
        <v>135</v>
      </c>
      <c r="C68" s="2542" t="s">
        <v>141</v>
      </c>
      <c r="D68" s="2542" t="s">
        <v>1166</v>
      </c>
      <c r="E68" s="2554" t="s">
        <v>142</v>
      </c>
      <c r="F68" s="2562" t="s">
        <v>1167</v>
      </c>
      <c r="G68" s="2562" t="s">
        <v>928</v>
      </c>
      <c r="H68" s="2576" t="s">
        <v>1169</v>
      </c>
      <c r="I68" s="2562" t="s">
        <v>867</v>
      </c>
      <c r="J68" s="2562" t="s">
        <v>20</v>
      </c>
      <c r="K68" s="2552" t="s">
        <v>1007</v>
      </c>
      <c r="L68" s="2562" t="s">
        <v>868</v>
      </c>
      <c r="M68" s="2562" t="s">
        <v>143</v>
      </c>
      <c r="N68" s="2562" t="s">
        <v>144</v>
      </c>
      <c r="O68" s="2560" t="s">
        <v>869</v>
      </c>
      <c r="P68" s="2573" t="s">
        <v>870</v>
      </c>
      <c r="Q68" s="2574"/>
      <c r="R68" s="2574"/>
      <c r="S68" s="2575"/>
      <c r="T68" s="2570" t="s">
        <v>871</v>
      </c>
      <c r="U68" s="2571"/>
      <c r="V68" s="2571"/>
      <c r="W68" s="2572"/>
      <c r="X68" s="2562" t="s">
        <v>900</v>
      </c>
      <c r="Y68" s="2552" t="s">
        <v>872</v>
      </c>
      <c r="Z68" s="2562" t="s">
        <v>873</v>
      </c>
      <c r="AA68" s="2562" t="s">
        <v>622</v>
      </c>
      <c r="AB68" s="2566" t="s">
        <v>1170</v>
      </c>
      <c r="AC68" s="2562" t="s">
        <v>1166</v>
      </c>
      <c r="AD68" s="2554" t="s">
        <v>142</v>
      </c>
      <c r="AE68" s="2562" t="s">
        <v>1168</v>
      </c>
      <c r="AF68" s="2562" t="s">
        <v>928</v>
      </c>
      <c r="AG68" s="2562" t="s">
        <v>874</v>
      </c>
      <c r="AH68" s="2562" t="s">
        <v>875</v>
      </c>
      <c r="AI68" s="2562" t="s">
        <v>876</v>
      </c>
      <c r="AJ68" s="2560" t="s">
        <v>877</v>
      </c>
      <c r="AK68" s="2560" t="s">
        <v>878</v>
      </c>
      <c r="AL68" s="2564" t="s">
        <v>879</v>
      </c>
      <c r="AM68" s="2554" t="s">
        <v>880</v>
      </c>
      <c r="AN68" s="2552" t="s">
        <v>881</v>
      </c>
      <c r="AO68" s="2554" t="s">
        <v>882</v>
      </c>
      <c r="AP68" s="2552" t="s">
        <v>883</v>
      </c>
      <c r="AQ68" s="2554" t="s">
        <v>884</v>
      </c>
      <c r="AR68" s="2552" t="s">
        <v>885</v>
      </c>
      <c r="AS68" s="2560" t="s">
        <v>886</v>
      </c>
      <c r="AT68" s="2552" t="s">
        <v>887</v>
      </c>
      <c r="AU68" s="2560" t="s">
        <v>888</v>
      </c>
      <c r="AV68" s="2552" t="s">
        <v>889</v>
      </c>
      <c r="AW68" s="2552" t="s">
        <v>890</v>
      </c>
      <c r="AX68" s="2552" t="s">
        <v>891</v>
      </c>
      <c r="AY68" s="2556" t="s">
        <v>899</v>
      </c>
      <c r="AZ68" s="2552" t="s">
        <v>892</v>
      </c>
      <c r="BA68" s="2558" t="s">
        <v>682</v>
      </c>
    </row>
    <row r="69" spans="1:53" ht="47.25">
      <c r="A69" s="2568"/>
      <c r="B69" s="2568"/>
      <c r="C69" s="2568"/>
      <c r="D69" s="2568"/>
      <c r="E69" s="2569"/>
      <c r="F69" s="2579"/>
      <c r="G69" s="2579"/>
      <c r="H69" s="2581"/>
      <c r="I69" s="2579"/>
      <c r="J69" s="2579"/>
      <c r="K69" s="2578"/>
      <c r="L69" s="2579"/>
      <c r="M69" s="2579"/>
      <c r="N69" s="2579"/>
      <c r="O69" s="2580"/>
      <c r="P69" s="1358" t="s">
        <v>893</v>
      </c>
      <c r="Q69" s="1358" t="s">
        <v>894</v>
      </c>
      <c r="R69" s="1358" t="s">
        <v>929</v>
      </c>
      <c r="S69" s="1358" t="s">
        <v>1005</v>
      </c>
      <c r="T69" s="1357" t="s">
        <v>895</v>
      </c>
      <c r="U69" s="1357" t="s">
        <v>896</v>
      </c>
      <c r="V69" s="1357" t="s">
        <v>930</v>
      </c>
      <c r="W69" s="1358" t="s">
        <v>1006</v>
      </c>
      <c r="X69" s="2579"/>
      <c r="Y69" s="2578"/>
      <c r="Z69" s="2579"/>
      <c r="AA69" s="2579"/>
      <c r="AB69" s="2582"/>
      <c r="AC69" s="2579"/>
      <c r="AD69" s="2569"/>
      <c r="AE69" s="2579"/>
      <c r="AF69" s="2579"/>
      <c r="AG69" s="2579"/>
      <c r="AH69" s="2579"/>
      <c r="AI69" s="2579"/>
      <c r="AJ69" s="2580"/>
      <c r="AK69" s="2580"/>
      <c r="AL69" s="2583"/>
      <c r="AM69" s="2569"/>
      <c r="AN69" s="2578"/>
      <c r="AO69" s="2569"/>
      <c r="AP69" s="2578"/>
      <c r="AQ69" s="2569"/>
      <c r="AR69" s="2578"/>
      <c r="AS69" s="2580"/>
      <c r="AT69" s="2578"/>
      <c r="AU69" s="2580"/>
      <c r="AV69" s="2578"/>
      <c r="AW69" s="2578"/>
      <c r="AX69" s="2578"/>
      <c r="AY69" s="2585"/>
      <c r="AZ69" s="2578"/>
      <c r="BA69" s="2584"/>
    </row>
    <row r="70" spans="1:53">
      <c r="A70" s="2210">
        <v>1</v>
      </c>
      <c r="B70" s="2205" t="s">
        <v>1953</v>
      </c>
      <c r="C70" s="2206" t="s">
        <v>1954</v>
      </c>
      <c r="D70" s="2207" t="s">
        <v>1955</v>
      </c>
      <c r="E70" s="2208">
        <v>0</v>
      </c>
      <c r="F70" s="2207"/>
      <c r="G70" s="2207"/>
      <c r="H70" s="2209"/>
      <c r="I70" s="2210"/>
      <c r="J70" s="2210"/>
      <c r="K70" s="2211">
        <v>5000</v>
      </c>
      <c r="L70" s="2211"/>
      <c r="M70" s="2212"/>
      <c r="N70" s="2212"/>
      <c r="O70" s="2213"/>
      <c r="P70" s="2212"/>
      <c r="Q70" s="2212"/>
      <c r="R70" s="2212"/>
      <c r="S70" s="2212"/>
      <c r="T70" s="2214"/>
      <c r="U70" s="2214"/>
      <c r="V70" s="2214"/>
      <c r="W70" s="2212"/>
      <c r="X70" s="2215"/>
      <c r="Y70" s="2216"/>
      <c r="Z70" s="2216"/>
      <c r="AA70" s="2211">
        <f t="shared" ref="AA70:AA76" si="4">Z70</f>
        <v>0</v>
      </c>
      <c r="AB70" s="2215"/>
      <c r="AC70" s="2207" t="s">
        <v>1955</v>
      </c>
      <c r="AD70" s="2208">
        <v>0</v>
      </c>
      <c r="AE70" s="2207"/>
      <c r="AF70" s="2207"/>
      <c r="AG70" s="2216"/>
      <c r="AH70" s="2217"/>
      <c r="AI70" s="2216"/>
      <c r="AJ70" s="2218"/>
      <c r="AK70" s="2213"/>
      <c r="AL70" s="2219"/>
      <c r="AM70" s="2220"/>
      <c r="AN70" s="2211"/>
      <c r="AO70" s="2220"/>
      <c r="AP70" s="2216"/>
      <c r="AQ70" s="2220"/>
      <c r="AR70" s="2216"/>
      <c r="AS70" s="2218"/>
      <c r="AT70" s="2216"/>
      <c r="AU70" s="2218"/>
      <c r="AV70" s="2216"/>
      <c r="AW70" s="2216"/>
      <c r="AX70" s="2216"/>
      <c r="AY70" s="2221"/>
      <c r="AZ70" s="2216"/>
      <c r="BA70" s="2216">
        <f t="shared" ref="BA70:BA76" si="5">K70+AA70+AW70+AX70+AZ70</f>
        <v>5000</v>
      </c>
    </row>
    <row r="71" spans="1:53" ht="31.5">
      <c r="A71" s="2226">
        <v>2</v>
      </c>
      <c r="B71" s="2168" t="s">
        <v>1959</v>
      </c>
      <c r="C71" s="2222" t="s">
        <v>1960</v>
      </c>
      <c r="D71" s="2223" t="s">
        <v>1961</v>
      </c>
      <c r="E71" s="2224">
        <v>0</v>
      </c>
      <c r="F71" s="2223"/>
      <c r="G71" s="2223"/>
      <c r="H71" s="2225"/>
      <c r="I71" s="2226"/>
      <c r="J71" s="2226"/>
      <c r="K71" s="2227">
        <v>21000</v>
      </c>
      <c r="L71" s="2227"/>
      <c r="M71" s="2228"/>
      <c r="N71" s="2228"/>
      <c r="O71" s="2229"/>
      <c r="P71" s="2228"/>
      <c r="Q71" s="2228"/>
      <c r="R71" s="2228"/>
      <c r="S71" s="2228"/>
      <c r="T71" s="2230"/>
      <c r="U71" s="2230"/>
      <c r="V71" s="2230"/>
      <c r="W71" s="2228"/>
      <c r="X71" s="2231"/>
      <c r="Y71" s="2232"/>
      <c r="Z71" s="2232"/>
      <c r="AA71" s="2227">
        <f t="shared" si="4"/>
        <v>0</v>
      </c>
      <c r="AB71" s="2231"/>
      <c r="AC71" s="2223" t="s">
        <v>1961</v>
      </c>
      <c r="AD71" s="2224">
        <v>0</v>
      </c>
      <c r="AE71" s="2223"/>
      <c r="AF71" s="2223"/>
      <c r="AG71" s="2232"/>
      <c r="AH71" s="2233"/>
      <c r="AI71" s="2232"/>
      <c r="AJ71" s="2234"/>
      <c r="AK71" s="2229"/>
      <c r="AL71" s="2235"/>
      <c r="AM71" s="2236"/>
      <c r="AN71" s="2227"/>
      <c r="AO71" s="2236"/>
      <c r="AP71" s="2232"/>
      <c r="AQ71" s="2236"/>
      <c r="AR71" s="2232"/>
      <c r="AS71" s="2234"/>
      <c r="AT71" s="2232"/>
      <c r="AU71" s="2234"/>
      <c r="AV71" s="2232"/>
      <c r="AW71" s="2232"/>
      <c r="AX71" s="2232"/>
      <c r="AY71" s="2237"/>
      <c r="AZ71" s="2232"/>
      <c r="BA71" s="2232">
        <f t="shared" si="5"/>
        <v>21000</v>
      </c>
    </row>
    <row r="72" spans="1:53">
      <c r="A72" s="2226">
        <v>3</v>
      </c>
      <c r="B72" s="2168" t="s">
        <v>1949</v>
      </c>
      <c r="C72" s="2222" t="s">
        <v>1950</v>
      </c>
      <c r="D72" s="2223" t="s">
        <v>1856</v>
      </c>
      <c r="E72" s="2224">
        <v>0</v>
      </c>
      <c r="F72" s="2223"/>
      <c r="G72" s="2223"/>
      <c r="H72" s="2225"/>
      <c r="I72" s="2226"/>
      <c r="J72" s="2226"/>
      <c r="K72" s="2227">
        <v>29000</v>
      </c>
      <c r="L72" s="2227"/>
      <c r="M72" s="2228"/>
      <c r="N72" s="2228"/>
      <c r="O72" s="2229"/>
      <c r="P72" s="2228"/>
      <c r="Q72" s="2228"/>
      <c r="R72" s="2228"/>
      <c r="S72" s="2228"/>
      <c r="T72" s="2230"/>
      <c r="U72" s="2230"/>
      <c r="V72" s="2230"/>
      <c r="W72" s="2228"/>
      <c r="X72" s="2231"/>
      <c r="Y72" s="2232"/>
      <c r="Z72" s="2232"/>
      <c r="AA72" s="2227">
        <f t="shared" si="4"/>
        <v>0</v>
      </c>
      <c r="AB72" s="2231"/>
      <c r="AC72" s="2223" t="s">
        <v>1856</v>
      </c>
      <c r="AD72" s="2224">
        <v>0</v>
      </c>
      <c r="AE72" s="2223"/>
      <c r="AF72" s="2223"/>
      <c r="AG72" s="2232"/>
      <c r="AH72" s="2233"/>
      <c r="AI72" s="2232"/>
      <c r="AJ72" s="2234"/>
      <c r="AK72" s="2229"/>
      <c r="AL72" s="2235"/>
      <c r="AM72" s="2236"/>
      <c r="AN72" s="2227"/>
      <c r="AO72" s="2236"/>
      <c r="AP72" s="2232"/>
      <c r="AQ72" s="2236"/>
      <c r="AR72" s="2232"/>
      <c r="AS72" s="2234"/>
      <c r="AT72" s="2232"/>
      <c r="AU72" s="2234"/>
      <c r="AV72" s="2232"/>
      <c r="AW72" s="2232"/>
      <c r="AX72" s="2232"/>
      <c r="AY72" s="2237"/>
      <c r="AZ72" s="2232"/>
      <c r="BA72" s="2232">
        <f t="shared" si="5"/>
        <v>29000</v>
      </c>
    </row>
    <row r="73" spans="1:53">
      <c r="A73" s="2226">
        <v>4</v>
      </c>
      <c r="B73" s="2168" t="s">
        <v>1962</v>
      </c>
      <c r="C73" s="2222" t="s">
        <v>1963</v>
      </c>
      <c r="D73" s="2223" t="s">
        <v>1955</v>
      </c>
      <c r="E73" s="2224">
        <v>0</v>
      </c>
      <c r="F73" s="2223"/>
      <c r="G73" s="2223"/>
      <c r="H73" s="2225"/>
      <c r="I73" s="2226"/>
      <c r="J73" s="2226"/>
      <c r="K73" s="2227">
        <v>1500</v>
      </c>
      <c r="L73" s="2227"/>
      <c r="M73" s="2228"/>
      <c r="N73" s="2228"/>
      <c r="O73" s="2229"/>
      <c r="P73" s="2228"/>
      <c r="Q73" s="2228"/>
      <c r="R73" s="2228"/>
      <c r="S73" s="2228"/>
      <c r="T73" s="2230"/>
      <c r="U73" s="2230"/>
      <c r="V73" s="2230"/>
      <c r="W73" s="2228"/>
      <c r="X73" s="2231"/>
      <c r="Y73" s="2232"/>
      <c r="Z73" s="2232"/>
      <c r="AA73" s="2227">
        <f t="shared" si="4"/>
        <v>0</v>
      </c>
      <c r="AB73" s="2231"/>
      <c r="AC73" s="2223" t="s">
        <v>1955</v>
      </c>
      <c r="AD73" s="2224">
        <v>0</v>
      </c>
      <c r="AE73" s="2223"/>
      <c r="AF73" s="2223"/>
      <c r="AG73" s="2232"/>
      <c r="AH73" s="2233"/>
      <c r="AI73" s="2232"/>
      <c r="AJ73" s="2234"/>
      <c r="AK73" s="2229"/>
      <c r="AL73" s="2235"/>
      <c r="AM73" s="2236"/>
      <c r="AN73" s="2227"/>
      <c r="AO73" s="2236"/>
      <c r="AP73" s="2232"/>
      <c r="AQ73" s="2236"/>
      <c r="AR73" s="2232"/>
      <c r="AS73" s="2234"/>
      <c r="AT73" s="2232"/>
      <c r="AU73" s="2234"/>
      <c r="AV73" s="2232"/>
      <c r="AW73" s="2232"/>
      <c r="AX73" s="2232"/>
      <c r="AY73" s="2237"/>
      <c r="AZ73" s="2232"/>
      <c r="BA73" s="2232">
        <f t="shared" si="5"/>
        <v>1500</v>
      </c>
    </row>
    <row r="74" spans="1:53">
      <c r="A74" s="2226">
        <v>5</v>
      </c>
      <c r="B74" s="2168" t="s">
        <v>1946</v>
      </c>
      <c r="C74" s="2222" t="s">
        <v>1947</v>
      </c>
      <c r="D74" s="2223" t="s">
        <v>1948</v>
      </c>
      <c r="E74" s="2224">
        <v>0</v>
      </c>
      <c r="F74" s="2223"/>
      <c r="G74" s="2223"/>
      <c r="H74" s="2225"/>
      <c r="I74" s="2226"/>
      <c r="J74" s="2226"/>
      <c r="K74" s="2227">
        <v>40400</v>
      </c>
      <c r="L74" s="2227"/>
      <c r="M74" s="2228"/>
      <c r="N74" s="2228"/>
      <c r="O74" s="2229"/>
      <c r="P74" s="2228"/>
      <c r="Q74" s="2228"/>
      <c r="R74" s="2228"/>
      <c r="S74" s="2228"/>
      <c r="T74" s="2230"/>
      <c r="U74" s="2230"/>
      <c r="V74" s="2230"/>
      <c r="W74" s="2228"/>
      <c r="X74" s="2231"/>
      <c r="Y74" s="2232"/>
      <c r="Z74" s="2232"/>
      <c r="AA74" s="2227">
        <f t="shared" si="4"/>
        <v>0</v>
      </c>
      <c r="AB74" s="2231"/>
      <c r="AC74" s="2223" t="s">
        <v>1948</v>
      </c>
      <c r="AD74" s="2224">
        <v>0</v>
      </c>
      <c r="AE74" s="2223"/>
      <c r="AF74" s="2223"/>
      <c r="AG74" s="2232"/>
      <c r="AH74" s="2233"/>
      <c r="AI74" s="2232"/>
      <c r="AJ74" s="2234"/>
      <c r="AK74" s="2229"/>
      <c r="AL74" s="2235"/>
      <c r="AM74" s="2236"/>
      <c r="AN74" s="2227"/>
      <c r="AO74" s="2236"/>
      <c r="AP74" s="2232"/>
      <c r="AQ74" s="2236"/>
      <c r="AR74" s="2232"/>
      <c r="AS74" s="2234"/>
      <c r="AT74" s="2232"/>
      <c r="AU74" s="2234"/>
      <c r="AV74" s="2232"/>
      <c r="AW74" s="2232"/>
      <c r="AX74" s="2232"/>
      <c r="AY74" s="2237"/>
      <c r="AZ74" s="2232"/>
      <c r="BA74" s="2232">
        <f t="shared" si="5"/>
        <v>40400</v>
      </c>
    </row>
    <row r="75" spans="1:53">
      <c r="A75" s="2226">
        <v>6</v>
      </c>
      <c r="B75" s="2168" t="s">
        <v>1894</v>
      </c>
      <c r="C75" s="2222" t="s">
        <v>1895</v>
      </c>
      <c r="D75" s="2223" t="s">
        <v>1856</v>
      </c>
      <c r="E75" s="2224" t="s">
        <v>2066</v>
      </c>
      <c r="F75" s="2223"/>
      <c r="G75" s="2223"/>
      <c r="H75" s="2225"/>
      <c r="I75" s="2226"/>
      <c r="J75" s="2226"/>
      <c r="K75" s="2227">
        <v>21000</v>
      </c>
      <c r="L75" s="2227"/>
      <c r="M75" s="2228"/>
      <c r="N75" s="2228"/>
      <c r="O75" s="2229"/>
      <c r="P75" s="2228"/>
      <c r="Q75" s="2228"/>
      <c r="R75" s="2228"/>
      <c r="S75" s="2228"/>
      <c r="T75" s="2230"/>
      <c r="U75" s="2230"/>
      <c r="V75" s="2230"/>
      <c r="W75" s="2228"/>
      <c r="X75" s="2231"/>
      <c r="Y75" s="2232"/>
      <c r="Z75" s="2232"/>
      <c r="AA75" s="2227">
        <f t="shared" si="4"/>
        <v>0</v>
      </c>
      <c r="AB75" s="2231"/>
      <c r="AC75" s="2223" t="s">
        <v>1856</v>
      </c>
      <c r="AD75" s="2224" t="s">
        <v>2066</v>
      </c>
      <c r="AE75" s="2223"/>
      <c r="AF75" s="2223"/>
      <c r="AG75" s="2232"/>
      <c r="AH75" s="2233"/>
      <c r="AI75" s="2232"/>
      <c r="AJ75" s="2234"/>
      <c r="AK75" s="2229"/>
      <c r="AL75" s="2235"/>
      <c r="AM75" s="2236"/>
      <c r="AN75" s="2227"/>
      <c r="AO75" s="2236"/>
      <c r="AP75" s="2232"/>
      <c r="AQ75" s="2236"/>
      <c r="AR75" s="2232"/>
      <c r="AS75" s="2234"/>
      <c r="AT75" s="2232"/>
      <c r="AU75" s="2234"/>
      <c r="AV75" s="2232"/>
      <c r="AW75" s="2232"/>
      <c r="AX75" s="2232"/>
      <c r="AY75" s="2237"/>
      <c r="AZ75" s="2232"/>
      <c r="BA75" s="2232">
        <f t="shared" si="5"/>
        <v>21000</v>
      </c>
    </row>
    <row r="76" spans="1:53">
      <c r="A76" s="2226">
        <v>7</v>
      </c>
      <c r="B76" s="2168" t="s">
        <v>1944</v>
      </c>
      <c r="C76" s="2222" t="s">
        <v>1945</v>
      </c>
      <c r="D76" s="2223" t="s">
        <v>1856</v>
      </c>
      <c r="E76" s="2224" t="s">
        <v>2066</v>
      </c>
      <c r="F76" s="2223"/>
      <c r="G76" s="2223"/>
      <c r="H76" s="2225"/>
      <c r="I76" s="2226"/>
      <c r="J76" s="2226"/>
      <c r="K76" s="2227">
        <v>21150</v>
      </c>
      <c r="L76" s="2227"/>
      <c r="M76" s="2228"/>
      <c r="N76" s="2228"/>
      <c r="O76" s="2229"/>
      <c r="P76" s="2228"/>
      <c r="Q76" s="2228"/>
      <c r="R76" s="2228"/>
      <c r="S76" s="2228"/>
      <c r="T76" s="2230"/>
      <c r="U76" s="2230"/>
      <c r="V76" s="2230"/>
      <c r="W76" s="2228"/>
      <c r="X76" s="2231"/>
      <c r="Y76" s="2232"/>
      <c r="Z76" s="2232"/>
      <c r="AA76" s="2227">
        <f t="shared" si="4"/>
        <v>0</v>
      </c>
      <c r="AB76" s="2231"/>
      <c r="AC76" s="2223" t="s">
        <v>1856</v>
      </c>
      <c r="AD76" s="2224" t="s">
        <v>2066</v>
      </c>
      <c r="AE76" s="2223"/>
      <c r="AF76" s="2223"/>
      <c r="AG76" s="2232"/>
      <c r="AH76" s="2233"/>
      <c r="AI76" s="2232"/>
      <c r="AJ76" s="2234"/>
      <c r="AK76" s="2229"/>
      <c r="AL76" s="2235"/>
      <c r="AM76" s="2236"/>
      <c r="AN76" s="2227"/>
      <c r="AO76" s="2236"/>
      <c r="AP76" s="2232"/>
      <c r="AQ76" s="2236"/>
      <c r="AR76" s="2232"/>
      <c r="AS76" s="2234"/>
      <c r="AT76" s="2232"/>
      <c r="AU76" s="2234"/>
      <c r="AV76" s="2232"/>
      <c r="AW76" s="2232"/>
      <c r="AX76" s="2232"/>
      <c r="AY76" s="2237"/>
      <c r="AZ76" s="2232"/>
      <c r="BA76" s="2232">
        <f t="shared" si="5"/>
        <v>21150</v>
      </c>
    </row>
    <row r="77" spans="1:53">
      <c r="A77" s="2193"/>
      <c r="B77" s="2169"/>
      <c r="C77" s="2189"/>
      <c r="D77" s="2190"/>
      <c r="E77" s="2191"/>
      <c r="F77" s="2190"/>
      <c r="G77" s="2190"/>
      <c r="H77" s="2192"/>
      <c r="I77" s="2193"/>
      <c r="J77" s="2193"/>
      <c r="K77" s="2194"/>
      <c r="L77" s="2194"/>
      <c r="M77" s="2195"/>
      <c r="N77" s="2195"/>
      <c r="O77" s="2196"/>
      <c r="P77" s="2195"/>
      <c r="Q77" s="2195"/>
      <c r="R77" s="2195"/>
      <c r="S77" s="2195"/>
      <c r="T77" s="2197"/>
      <c r="U77" s="2197"/>
      <c r="V77" s="2197"/>
      <c r="W77" s="2195"/>
      <c r="X77" s="2198"/>
      <c r="Y77" s="2199"/>
      <c r="Z77" s="2199"/>
      <c r="AA77" s="2194"/>
      <c r="AB77" s="2198"/>
      <c r="AC77" s="2190"/>
      <c r="AD77" s="2191"/>
      <c r="AE77" s="2190"/>
      <c r="AF77" s="2190"/>
      <c r="AG77" s="2199"/>
      <c r="AH77" s="2200"/>
      <c r="AI77" s="2199"/>
      <c r="AJ77" s="2201"/>
      <c r="AK77" s="2196"/>
      <c r="AL77" s="2202"/>
      <c r="AM77" s="2203"/>
      <c r="AN77" s="2194"/>
      <c r="AO77" s="2203"/>
      <c r="AP77" s="2199"/>
      <c r="AQ77" s="2203"/>
      <c r="AR77" s="2199"/>
      <c r="AS77" s="2201"/>
      <c r="AT77" s="2199"/>
      <c r="AU77" s="2201"/>
      <c r="AV77" s="2199"/>
      <c r="AW77" s="2199"/>
      <c r="AX77" s="2199"/>
      <c r="AY77" s="2204"/>
      <c r="AZ77" s="2199"/>
      <c r="BA77" s="2199"/>
    </row>
    <row r="78" spans="1:53" ht="22.5">
      <c r="A78" s="1246" t="s">
        <v>182</v>
      </c>
      <c r="B78" s="1247"/>
      <c r="C78" s="1248"/>
      <c r="D78" s="1248"/>
      <c r="E78" s="1248"/>
      <c r="F78" s="1248"/>
      <c r="G78" s="1248"/>
      <c r="H78" s="1249"/>
      <c r="I78" s="1249"/>
      <c r="J78" s="1249"/>
      <c r="K78" s="1249"/>
      <c r="L78" s="1249"/>
      <c r="M78" s="1249"/>
      <c r="N78" s="1249"/>
      <c r="O78" s="1249"/>
      <c r="P78" s="1249"/>
      <c r="Q78" s="1249"/>
      <c r="R78" s="1249"/>
      <c r="S78" s="1249"/>
      <c r="T78" s="1249"/>
      <c r="U78" s="1249"/>
      <c r="V78" s="1249"/>
      <c r="W78" s="101"/>
      <c r="X78" s="1249"/>
      <c r="Y78" s="1249"/>
      <c r="Z78" s="1249"/>
      <c r="AA78" s="1249"/>
      <c r="AB78" s="1249"/>
      <c r="AC78" s="1248"/>
      <c r="AD78" s="1248"/>
      <c r="AE78" s="1248"/>
      <c r="AF78" s="1248"/>
      <c r="AG78" s="1249"/>
      <c r="AH78" s="1249"/>
      <c r="AI78" s="1249"/>
      <c r="AJ78" s="1249"/>
      <c r="AK78" s="1249"/>
      <c r="AM78" s="1249"/>
      <c r="AN78" s="1249"/>
      <c r="AO78" s="1249"/>
      <c r="AP78" s="1249"/>
      <c r="AQ78" s="1249"/>
      <c r="AR78" s="1249"/>
      <c r="AS78" s="1249"/>
      <c r="AT78" s="1249"/>
      <c r="AU78" s="1249"/>
      <c r="AV78" s="1249"/>
      <c r="AW78" s="1249"/>
      <c r="AX78" s="1249"/>
      <c r="AY78" s="1249"/>
      <c r="AZ78" s="1249"/>
      <c r="BA78" s="1249"/>
    </row>
    <row r="79" spans="1:53" ht="18.75">
      <c r="A79" s="1250" t="str">
        <f>Ts!H4&amp;Ts!K4</f>
        <v>CÔNG TRÌNH: NHÀ 01 TẦNG, TƯỜNG CHỊU LỰC 110MM, MÁI LỢP FIBRÔXIMĂNG, KHÔNG CÓ KHU VỆ SINH KHÉP KÍN</v>
      </c>
      <c r="B79" s="1247"/>
      <c r="C79" s="1251"/>
      <c r="D79" s="1251"/>
      <c r="E79" s="1251"/>
      <c r="F79" s="1251"/>
      <c r="G79" s="1251"/>
      <c r="H79" s="1127"/>
      <c r="I79" s="1127"/>
      <c r="J79" s="1127"/>
      <c r="K79" s="1127"/>
      <c r="L79" s="1127"/>
      <c r="M79" s="1127"/>
      <c r="N79" s="1127"/>
      <c r="O79" s="1127"/>
      <c r="P79" s="1127"/>
      <c r="Q79" s="1127"/>
      <c r="R79" s="1127"/>
      <c r="S79" s="1127"/>
      <c r="T79" s="1127"/>
      <c r="U79" s="1127"/>
      <c r="V79" s="1127"/>
      <c r="W79" s="6"/>
      <c r="X79" s="1127"/>
      <c r="Y79" s="1127"/>
      <c r="Z79" s="1127"/>
      <c r="AA79" s="1127"/>
      <c r="AB79" s="1127"/>
      <c r="AC79" s="1251"/>
      <c r="AD79" s="1251"/>
      <c r="AE79" s="1251"/>
      <c r="AF79" s="1251"/>
      <c r="AG79" s="1127"/>
      <c r="AH79" s="1127"/>
      <c r="AI79" s="1127"/>
      <c r="AJ79" s="1127"/>
      <c r="AK79" s="1127"/>
      <c r="AL79" s="1253"/>
      <c r="AM79" s="1127"/>
      <c r="AN79" s="1127"/>
      <c r="AO79" s="1249"/>
      <c r="AP79" s="1249"/>
      <c r="AQ79" s="1249"/>
      <c r="AR79" s="1249"/>
      <c r="AS79" s="1249"/>
      <c r="AT79" s="1249"/>
      <c r="AU79" s="1249"/>
      <c r="AV79" s="1249"/>
      <c r="AW79" s="1249"/>
      <c r="AX79" s="1249"/>
      <c r="AY79" s="1249"/>
      <c r="AZ79" s="1249"/>
      <c r="BA79" s="1249"/>
    </row>
    <row r="80" spans="1:53" ht="18.75">
      <c r="A80" s="1250" t="s">
        <v>2072</v>
      </c>
      <c r="B80" s="1247"/>
      <c r="C80" s="1251"/>
      <c r="D80" s="1251"/>
      <c r="E80" s="1251"/>
      <c r="F80" s="1251"/>
      <c r="G80" s="1251"/>
      <c r="H80" s="1127"/>
      <c r="I80" s="1127"/>
      <c r="J80" s="1127"/>
      <c r="K80" s="1127"/>
      <c r="L80" s="1127"/>
      <c r="M80" s="1127"/>
      <c r="N80" s="1127"/>
      <c r="O80" s="1127"/>
      <c r="P80" s="1127"/>
      <c r="Q80" s="1127"/>
      <c r="R80" s="1127"/>
      <c r="S80" s="1127"/>
      <c r="T80" s="1127"/>
      <c r="U80" s="1127"/>
      <c r="V80" s="1127"/>
      <c r="W80" s="6"/>
      <c r="X80" s="1127"/>
      <c r="Y80" s="1127"/>
      <c r="Z80" s="1127"/>
      <c r="AA80" s="1127"/>
      <c r="AB80" s="1127"/>
      <c r="AC80" s="1251"/>
      <c r="AD80" s="1251"/>
      <c r="AE80" s="1251"/>
      <c r="AF80" s="1251"/>
      <c r="AG80" s="1127"/>
      <c r="AH80" s="1127"/>
      <c r="AI80" s="1127"/>
      <c r="AJ80" s="1127"/>
      <c r="AK80" s="1127"/>
      <c r="AL80" s="1253"/>
      <c r="AM80" s="1127"/>
      <c r="AN80" s="1127"/>
      <c r="AO80" s="1249"/>
      <c r="AP80" s="1249"/>
      <c r="AQ80" s="1249"/>
      <c r="AR80" s="1249"/>
      <c r="AS80" s="1249"/>
      <c r="AT80" s="1249"/>
      <c r="AU80" s="1249"/>
      <c r="AV80" s="1249"/>
      <c r="AW80" s="1249"/>
      <c r="AX80" s="1249"/>
      <c r="AY80" s="1249"/>
      <c r="AZ80" s="1249"/>
      <c r="BA80" s="1249"/>
    </row>
    <row r="81" spans="1:53" hidden="1">
      <c r="A81" s="649"/>
      <c r="B81" s="1228"/>
      <c r="C81" s="1241"/>
      <c r="D81" s="1359" t="s">
        <v>897</v>
      </c>
      <c r="E81" s="1359"/>
      <c r="F81" s="1359"/>
      <c r="G81" s="1359"/>
      <c r="H81" s="1359"/>
      <c r="I81" s="1359"/>
      <c r="J81" s="1359"/>
      <c r="K81" s="1359"/>
      <c r="L81" s="1359"/>
      <c r="M81" s="1359"/>
      <c r="N81" s="1359"/>
      <c r="O81" s="1359"/>
      <c r="P81" s="1359"/>
      <c r="Q81" s="1359"/>
      <c r="R81" s="1359"/>
      <c r="S81" s="1359"/>
      <c r="T81" s="1359"/>
      <c r="U81" s="1359"/>
      <c r="V81" s="1359"/>
      <c r="W81" s="1359"/>
      <c r="X81" s="1359"/>
      <c r="Y81" s="1359"/>
      <c r="Z81" s="1359"/>
      <c r="AA81" s="1359"/>
      <c r="AB81" s="1360" t="s">
        <v>898</v>
      </c>
      <c r="AC81" s="1361"/>
      <c r="AD81" s="1361"/>
      <c r="AE81" s="1361"/>
      <c r="AF81" s="1361"/>
      <c r="AG81" s="1361"/>
      <c r="AH81" s="1361"/>
      <c r="AI81" s="1361"/>
      <c r="AJ81" s="1361"/>
      <c r="AK81" s="1361"/>
      <c r="AL81" s="1361"/>
      <c r="AM81" s="1361"/>
      <c r="AN81" s="1361"/>
      <c r="AO81" s="1361"/>
      <c r="AP81" s="1361"/>
      <c r="AQ81" s="1361"/>
      <c r="AR81" s="1361"/>
      <c r="AS81" s="1361"/>
      <c r="AT81" s="1361"/>
      <c r="AU81" s="1362"/>
      <c r="AV81" s="1361"/>
      <c r="AW81" s="1361"/>
      <c r="AX81" s="1363"/>
      <c r="AY81" s="1234"/>
      <c r="AZ81" s="1243"/>
      <c r="BA81" s="1243"/>
    </row>
    <row r="82" spans="1:53">
      <c r="A82" s="2542" t="s">
        <v>196</v>
      </c>
      <c r="B82" s="2542" t="s">
        <v>135</v>
      </c>
      <c r="C82" s="2542" t="s">
        <v>141</v>
      </c>
      <c r="D82" s="2542" t="s">
        <v>1166</v>
      </c>
      <c r="E82" s="2554" t="s">
        <v>142</v>
      </c>
      <c r="F82" s="2562" t="s">
        <v>1167</v>
      </c>
      <c r="G82" s="2562" t="s">
        <v>928</v>
      </c>
      <c r="H82" s="2576" t="s">
        <v>1169</v>
      </c>
      <c r="I82" s="2562" t="s">
        <v>867</v>
      </c>
      <c r="J82" s="2562" t="s">
        <v>20</v>
      </c>
      <c r="K82" s="2552" t="s">
        <v>1007</v>
      </c>
      <c r="L82" s="2562" t="s">
        <v>868</v>
      </c>
      <c r="M82" s="2562" t="s">
        <v>143</v>
      </c>
      <c r="N82" s="2562" t="s">
        <v>144</v>
      </c>
      <c r="O82" s="2560" t="s">
        <v>869</v>
      </c>
      <c r="P82" s="2573" t="s">
        <v>870</v>
      </c>
      <c r="Q82" s="2574"/>
      <c r="R82" s="2574"/>
      <c r="S82" s="2575"/>
      <c r="T82" s="2570" t="s">
        <v>871</v>
      </c>
      <c r="U82" s="2571"/>
      <c r="V82" s="2571"/>
      <c r="W82" s="2572"/>
      <c r="X82" s="2562" t="s">
        <v>900</v>
      </c>
      <c r="Y82" s="2552" t="s">
        <v>872</v>
      </c>
      <c r="Z82" s="2562" t="s">
        <v>873</v>
      </c>
      <c r="AA82" s="2562" t="s">
        <v>622</v>
      </c>
      <c r="AB82" s="2566" t="s">
        <v>1170</v>
      </c>
      <c r="AC82" s="2562" t="s">
        <v>1166</v>
      </c>
      <c r="AD82" s="2554" t="s">
        <v>142</v>
      </c>
      <c r="AE82" s="2562" t="s">
        <v>1168</v>
      </c>
      <c r="AF82" s="2562" t="s">
        <v>928</v>
      </c>
      <c r="AG82" s="2562" t="s">
        <v>874</v>
      </c>
      <c r="AH82" s="2562" t="s">
        <v>875</v>
      </c>
      <c r="AI82" s="2562" t="s">
        <v>876</v>
      </c>
      <c r="AJ82" s="2560" t="s">
        <v>877</v>
      </c>
      <c r="AK82" s="2560" t="s">
        <v>878</v>
      </c>
      <c r="AL82" s="2564" t="s">
        <v>879</v>
      </c>
      <c r="AM82" s="2554" t="s">
        <v>880</v>
      </c>
      <c r="AN82" s="2552" t="s">
        <v>881</v>
      </c>
      <c r="AO82" s="2554" t="s">
        <v>882</v>
      </c>
      <c r="AP82" s="2552" t="s">
        <v>883</v>
      </c>
      <c r="AQ82" s="2554" t="s">
        <v>884</v>
      </c>
      <c r="AR82" s="2552" t="s">
        <v>885</v>
      </c>
      <c r="AS82" s="2560" t="s">
        <v>886</v>
      </c>
      <c r="AT82" s="2552" t="s">
        <v>887</v>
      </c>
      <c r="AU82" s="2560" t="s">
        <v>888</v>
      </c>
      <c r="AV82" s="2552" t="s">
        <v>889</v>
      </c>
      <c r="AW82" s="2552" t="s">
        <v>890</v>
      </c>
      <c r="AX82" s="2552" t="s">
        <v>891</v>
      </c>
      <c r="AY82" s="2556" t="s">
        <v>899</v>
      </c>
      <c r="AZ82" s="2552" t="s">
        <v>892</v>
      </c>
      <c r="BA82" s="2558" t="s">
        <v>682</v>
      </c>
    </row>
    <row r="83" spans="1:53" ht="47.25">
      <c r="A83" s="2568"/>
      <c r="B83" s="2568"/>
      <c r="C83" s="2568"/>
      <c r="D83" s="2568"/>
      <c r="E83" s="2569"/>
      <c r="F83" s="2579"/>
      <c r="G83" s="2579"/>
      <c r="H83" s="2581"/>
      <c r="I83" s="2579"/>
      <c r="J83" s="2579"/>
      <c r="K83" s="2578"/>
      <c r="L83" s="2579"/>
      <c r="M83" s="2579"/>
      <c r="N83" s="2579"/>
      <c r="O83" s="2580"/>
      <c r="P83" s="1358" t="s">
        <v>893</v>
      </c>
      <c r="Q83" s="1358" t="s">
        <v>894</v>
      </c>
      <c r="R83" s="1358" t="s">
        <v>929</v>
      </c>
      <c r="S83" s="1358" t="s">
        <v>1005</v>
      </c>
      <c r="T83" s="1357" t="s">
        <v>895</v>
      </c>
      <c r="U83" s="1357" t="s">
        <v>896</v>
      </c>
      <c r="V83" s="1357" t="s">
        <v>930</v>
      </c>
      <c r="W83" s="1358" t="s">
        <v>1006</v>
      </c>
      <c r="X83" s="2579"/>
      <c r="Y83" s="2578"/>
      <c r="Z83" s="2579"/>
      <c r="AA83" s="2579"/>
      <c r="AB83" s="2582"/>
      <c r="AC83" s="2579"/>
      <c r="AD83" s="2569"/>
      <c r="AE83" s="2579"/>
      <c r="AF83" s="2579"/>
      <c r="AG83" s="2579"/>
      <c r="AH83" s="2579"/>
      <c r="AI83" s="2579"/>
      <c r="AJ83" s="2580"/>
      <c r="AK83" s="2580"/>
      <c r="AL83" s="2583"/>
      <c r="AM83" s="2569"/>
      <c r="AN83" s="2578"/>
      <c r="AO83" s="2569"/>
      <c r="AP83" s="2578"/>
      <c r="AQ83" s="2569"/>
      <c r="AR83" s="2578"/>
      <c r="AS83" s="2580"/>
      <c r="AT83" s="2578"/>
      <c r="AU83" s="2580"/>
      <c r="AV83" s="2578"/>
      <c r="AW83" s="2578"/>
      <c r="AX83" s="2578"/>
      <c r="AY83" s="2585"/>
      <c r="AZ83" s="2578"/>
      <c r="BA83" s="2584"/>
    </row>
    <row r="84" spans="1:53" ht="31.5">
      <c r="A84" s="2210">
        <v>1</v>
      </c>
      <c r="B84" s="2205" t="s">
        <v>1967</v>
      </c>
      <c r="C84" s="2206" t="s">
        <v>1968</v>
      </c>
      <c r="D84" s="2207" t="s">
        <v>1848</v>
      </c>
      <c r="E84" s="2208" t="s">
        <v>2073</v>
      </c>
      <c r="F84" s="2207"/>
      <c r="G84" s="2207"/>
      <c r="H84" s="2209"/>
      <c r="I84" s="2210"/>
      <c r="J84" s="2210"/>
      <c r="K84" s="2211">
        <v>85000</v>
      </c>
      <c r="L84" s="2211"/>
      <c r="M84" s="2212"/>
      <c r="N84" s="2212"/>
      <c r="O84" s="2213"/>
      <c r="P84" s="2212"/>
      <c r="Q84" s="2212"/>
      <c r="R84" s="2212"/>
      <c r="S84" s="2212"/>
      <c r="T84" s="2214"/>
      <c r="U84" s="2214"/>
      <c r="V84" s="2214"/>
      <c r="W84" s="2212"/>
      <c r="X84" s="2215"/>
      <c r="Y84" s="2216"/>
      <c r="Z84" s="2216"/>
      <c r="AA84" s="2211">
        <f t="shared" ref="AA84:AA95" si="6">Z84</f>
        <v>0</v>
      </c>
      <c r="AB84" s="2215"/>
      <c r="AC84" s="2207" t="s">
        <v>1848</v>
      </c>
      <c r="AD84" s="2208" t="s">
        <v>2073</v>
      </c>
      <c r="AE84" s="2207"/>
      <c r="AF84" s="2207"/>
      <c r="AG84" s="2216"/>
      <c r="AH84" s="2217"/>
      <c r="AI84" s="2216"/>
      <c r="AJ84" s="2218"/>
      <c r="AK84" s="2213"/>
      <c r="AL84" s="2219"/>
      <c r="AM84" s="2220"/>
      <c r="AN84" s="2211"/>
      <c r="AO84" s="2220"/>
      <c r="AP84" s="2216"/>
      <c r="AQ84" s="2220"/>
      <c r="AR84" s="2216"/>
      <c r="AS84" s="2218"/>
      <c r="AT84" s="2216"/>
      <c r="AU84" s="2218"/>
      <c r="AV84" s="2216"/>
      <c r="AW84" s="2216"/>
      <c r="AX84" s="2216"/>
      <c r="AY84" s="2221"/>
      <c r="AZ84" s="2216"/>
      <c r="BA84" s="2216">
        <f t="shared" ref="BA84:BA95" si="7">K84+AA84+AW84+AX84+AZ84</f>
        <v>85000</v>
      </c>
    </row>
    <row r="85" spans="1:53" ht="31.5">
      <c r="A85" s="2226">
        <v>2</v>
      </c>
      <c r="B85" s="2168" t="s">
        <v>1935</v>
      </c>
      <c r="C85" s="2222" t="s">
        <v>1936</v>
      </c>
      <c r="D85" s="2223" t="s">
        <v>1848</v>
      </c>
      <c r="E85" s="2224" t="s">
        <v>2070</v>
      </c>
      <c r="F85" s="2223"/>
      <c r="G85" s="2223"/>
      <c r="H85" s="2225"/>
      <c r="I85" s="2226"/>
      <c r="J85" s="2226"/>
      <c r="K85" s="2227">
        <v>85000</v>
      </c>
      <c r="L85" s="2227"/>
      <c r="M85" s="2228"/>
      <c r="N85" s="2228"/>
      <c r="O85" s="2229"/>
      <c r="P85" s="2228"/>
      <c r="Q85" s="2228"/>
      <c r="R85" s="2228"/>
      <c r="S85" s="2228"/>
      <c r="T85" s="2230"/>
      <c r="U85" s="2230"/>
      <c r="V85" s="2230"/>
      <c r="W85" s="2228"/>
      <c r="X85" s="2231"/>
      <c r="Y85" s="2232"/>
      <c r="Z85" s="2232"/>
      <c r="AA85" s="2227">
        <f t="shared" si="6"/>
        <v>0</v>
      </c>
      <c r="AB85" s="2231"/>
      <c r="AC85" s="2223" t="s">
        <v>1848</v>
      </c>
      <c r="AD85" s="2224" t="s">
        <v>2070</v>
      </c>
      <c r="AE85" s="2223"/>
      <c r="AF85" s="2223"/>
      <c r="AG85" s="2232"/>
      <c r="AH85" s="2233"/>
      <c r="AI85" s="2232"/>
      <c r="AJ85" s="2234"/>
      <c r="AK85" s="2229"/>
      <c r="AL85" s="2235"/>
      <c r="AM85" s="2236"/>
      <c r="AN85" s="2227"/>
      <c r="AO85" s="2236"/>
      <c r="AP85" s="2232"/>
      <c r="AQ85" s="2236"/>
      <c r="AR85" s="2232"/>
      <c r="AS85" s="2234"/>
      <c r="AT85" s="2232"/>
      <c r="AU85" s="2234"/>
      <c r="AV85" s="2232"/>
      <c r="AW85" s="2232"/>
      <c r="AX85" s="2232"/>
      <c r="AY85" s="2237"/>
      <c r="AZ85" s="2232"/>
      <c r="BA85" s="2232">
        <f t="shared" si="7"/>
        <v>85000</v>
      </c>
    </row>
    <row r="86" spans="1:53">
      <c r="A86" s="2226">
        <v>3</v>
      </c>
      <c r="B86" s="2168" t="s">
        <v>2051</v>
      </c>
      <c r="C86" s="2222" t="s">
        <v>2052</v>
      </c>
      <c r="D86" s="2223" t="s">
        <v>1961</v>
      </c>
      <c r="E86" s="2224">
        <v>0</v>
      </c>
      <c r="F86" s="2223"/>
      <c r="G86" s="2223"/>
      <c r="H86" s="2225"/>
      <c r="I86" s="2226"/>
      <c r="J86" s="2226"/>
      <c r="K86" s="2227">
        <v>105000</v>
      </c>
      <c r="L86" s="2227"/>
      <c r="M86" s="2228"/>
      <c r="N86" s="2228"/>
      <c r="O86" s="2229"/>
      <c r="P86" s="2228"/>
      <c r="Q86" s="2228"/>
      <c r="R86" s="2228"/>
      <c r="S86" s="2228"/>
      <c r="T86" s="2230"/>
      <c r="U86" s="2230"/>
      <c r="V86" s="2230"/>
      <c r="W86" s="2228"/>
      <c r="X86" s="2231"/>
      <c r="Y86" s="2232"/>
      <c r="Z86" s="2232"/>
      <c r="AA86" s="2227">
        <f t="shared" si="6"/>
        <v>0</v>
      </c>
      <c r="AB86" s="2231"/>
      <c r="AC86" s="2223" t="s">
        <v>1961</v>
      </c>
      <c r="AD86" s="2224">
        <v>0</v>
      </c>
      <c r="AE86" s="2223"/>
      <c r="AF86" s="2223"/>
      <c r="AG86" s="2232"/>
      <c r="AH86" s="2233"/>
      <c r="AI86" s="2232"/>
      <c r="AJ86" s="2234"/>
      <c r="AK86" s="2229"/>
      <c r="AL86" s="2235"/>
      <c r="AM86" s="2236"/>
      <c r="AN86" s="2227"/>
      <c r="AO86" s="2236"/>
      <c r="AP86" s="2232"/>
      <c r="AQ86" s="2236"/>
      <c r="AR86" s="2232"/>
      <c r="AS86" s="2234"/>
      <c r="AT86" s="2232"/>
      <c r="AU86" s="2234"/>
      <c r="AV86" s="2232"/>
      <c r="AW86" s="2232"/>
      <c r="AX86" s="2232"/>
      <c r="AY86" s="2237"/>
      <c r="AZ86" s="2232"/>
      <c r="BA86" s="2232">
        <f t="shared" si="7"/>
        <v>105000</v>
      </c>
    </row>
    <row r="87" spans="1:53" ht="31.5">
      <c r="A87" s="2226">
        <v>4</v>
      </c>
      <c r="B87" s="2168" t="s">
        <v>2040</v>
      </c>
      <c r="C87" s="2222" t="s">
        <v>2041</v>
      </c>
      <c r="D87" s="2223" t="s">
        <v>1961</v>
      </c>
      <c r="E87" s="2224">
        <v>0</v>
      </c>
      <c r="F87" s="2223"/>
      <c r="G87" s="2223"/>
      <c r="H87" s="2225"/>
      <c r="I87" s="2226"/>
      <c r="J87" s="2226"/>
      <c r="K87" s="2227">
        <v>145000</v>
      </c>
      <c r="L87" s="2227"/>
      <c r="M87" s="2228"/>
      <c r="N87" s="2228"/>
      <c r="O87" s="2229"/>
      <c r="P87" s="2228"/>
      <c r="Q87" s="2228"/>
      <c r="R87" s="2228"/>
      <c r="S87" s="2228"/>
      <c r="T87" s="2230"/>
      <c r="U87" s="2230"/>
      <c r="V87" s="2230"/>
      <c r="W87" s="2228"/>
      <c r="X87" s="2231"/>
      <c r="Y87" s="2232"/>
      <c r="Z87" s="2232"/>
      <c r="AA87" s="2227">
        <f t="shared" si="6"/>
        <v>0</v>
      </c>
      <c r="AB87" s="2231"/>
      <c r="AC87" s="2223" t="s">
        <v>1961</v>
      </c>
      <c r="AD87" s="2224">
        <v>0</v>
      </c>
      <c r="AE87" s="2223"/>
      <c r="AF87" s="2223"/>
      <c r="AG87" s="2232"/>
      <c r="AH87" s="2233"/>
      <c r="AI87" s="2232"/>
      <c r="AJ87" s="2234"/>
      <c r="AK87" s="2229"/>
      <c r="AL87" s="2235"/>
      <c r="AM87" s="2236"/>
      <c r="AN87" s="2227"/>
      <c r="AO87" s="2236"/>
      <c r="AP87" s="2232"/>
      <c r="AQ87" s="2236"/>
      <c r="AR87" s="2232"/>
      <c r="AS87" s="2234"/>
      <c r="AT87" s="2232"/>
      <c r="AU87" s="2234"/>
      <c r="AV87" s="2232"/>
      <c r="AW87" s="2232"/>
      <c r="AX87" s="2232"/>
      <c r="AY87" s="2237"/>
      <c r="AZ87" s="2232"/>
      <c r="BA87" s="2232">
        <f t="shared" si="7"/>
        <v>145000</v>
      </c>
    </row>
    <row r="88" spans="1:53">
      <c r="A88" s="2226">
        <v>5</v>
      </c>
      <c r="B88" s="2168" t="s">
        <v>1859</v>
      </c>
      <c r="C88" s="2222" t="s">
        <v>1860</v>
      </c>
      <c r="D88" s="2223" t="s">
        <v>1861</v>
      </c>
      <c r="E88" s="2224">
        <v>0</v>
      </c>
      <c r="F88" s="2223"/>
      <c r="G88" s="2223"/>
      <c r="H88" s="2225"/>
      <c r="I88" s="2226"/>
      <c r="J88" s="2226"/>
      <c r="K88" s="2227">
        <v>8</v>
      </c>
      <c r="L88" s="2227"/>
      <c r="M88" s="2228"/>
      <c r="N88" s="2228"/>
      <c r="O88" s="2229"/>
      <c r="P88" s="2228"/>
      <c r="Q88" s="2228"/>
      <c r="R88" s="2228"/>
      <c r="S88" s="2228"/>
      <c r="T88" s="2230"/>
      <c r="U88" s="2230"/>
      <c r="V88" s="2230"/>
      <c r="W88" s="2228"/>
      <c r="X88" s="2231"/>
      <c r="Y88" s="2232"/>
      <c r="Z88" s="2232"/>
      <c r="AA88" s="2227">
        <f t="shared" si="6"/>
        <v>0</v>
      </c>
      <c r="AB88" s="2231"/>
      <c r="AC88" s="2223" t="s">
        <v>1861</v>
      </c>
      <c r="AD88" s="2224">
        <v>0</v>
      </c>
      <c r="AE88" s="2223"/>
      <c r="AF88" s="2223"/>
      <c r="AG88" s="2232"/>
      <c r="AH88" s="2233"/>
      <c r="AI88" s="2232"/>
      <c r="AJ88" s="2234"/>
      <c r="AK88" s="2229"/>
      <c r="AL88" s="2235"/>
      <c r="AM88" s="2236"/>
      <c r="AN88" s="2227"/>
      <c r="AO88" s="2236"/>
      <c r="AP88" s="2232"/>
      <c r="AQ88" s="2236"/>
      <c r="AR88" s="2232"/>
      <c r="AS88" s="2234"/>
      <c r="AT88" s="2232"/>
      <c r="AU88" s="2234"/>
      <c r="AV88" s="2232"/>
      <c r="AW88" s="2232"/>
      <c r="AX88" s="2232"/>
      <c r="AY88" s="2237"/>
      <c r="AZ88" s="2232"/>
      <c r="BA88" s="2232">
        <f t="shared" si="7"/>
        <v>8</v>
      </c>
    </row>
    <row r="89" spans="1:53">
      <c r="A89" s="2226">
        <v>6</v>
      </c>
      <c r="B89" s="2168" t="s">
        <v>1982</v>
      </c>
      <c r="C89" s="2222" t="s">
        <v>1983</v>
      </c>
      <c r="D89" s="2223" t="s">
        <v>1861</v>
      </c>
      <c r="E89" s="2224">
        <v>0</v>
      </c>
      <c r="F89" s="2223"/>
      <c r="G89" s="2223"/>
      <c r="H89" s="2225"/>
      <c r="I89" s="2226"/>
      <c r="J89" s="2226"/>
      <c r="K89" s="2227">
        <v>29500</v>
      </c>
      <c r="L89" s="2227"/>
      <c r="M89" s="2228"/>
      <c r="N89" s="2228"/>
      <c r="O89" s="2229"/>
      <c r="P89" s="2228"/>
      <c r="Q89" s="2228"/>
      <c r="R89" s="2228"/>
      <c r="S89" s="2228"/>
      <c r="T89" s="2230"/>
      <c r="U89" s="2230"/>
      <c r="V89" s="2230"/>
      <c r="W89" s="2228"/>
      <c r="X89" s="2231"/>
      <c r="Y89" s="2232"/>
      <c r="Z89" s="2232"/>
      <c r="AA89" s="2227">
        <f t="shared" si="6"/>
        <v>0</v>
      </c>
      <c r="AB89" s="2231"/>
      <c r="AC89" s="2223" t="s">
        <v>1861</v>
      </c>
      <c r="AD89" s="2224">
        <v>0</v>
      </c>
      <c r="AE89" s="2223"/>
      <c r="AF89" s="2223"/>
      <c r="AG89" s="2232"/>
      <c r="AH89" s="2233"/>
      <c r="AI89" s="2232"/>
      <c r="AJ89" s="2234"/>
      <c r="AK89" s="2229"/>
      <c r="AL89" s="2235"/>
      <c r="AM89" s="2236"/>
      <c r="AN89" s="2227"/>
      <c r="AO89" s="2236"/>
      <c r="AP89" s="2232"/>
      <c r="AQ89" s="2236"/>
      <c r="AR89" s="2232"/>
      <c r="AS89" s="2234"/>
      <c r="AT89" s="2232"/>
      <c r="AU89" s="2234"/>
      <c r="AV89" s="2232"/>
      <c r="AW89" s="2232"/>
      <c r="AX89" s="2232"/>
      <c r="AY89" s="2237"/>
      <c r="AZ89" s="2232"/>
      <c r="BA89" s="2232">
        <f t="shared" si="7"/>
        <v>29500</v>
      </c>
    </row>
    <row r="90" spans="1:53">
      <c r="A90" s="2226">
        <v>7</v>
      </c>
      <c r="B90" s="2168" t="s">
        <v>1977</v>
      </c>
      <c r="C90" s="2222" t="s">
        <v>1978</v>
      </c>
      <c r="D90" s="2223" t="s">
        <v>1861</v>
      </c>
      <c r="E90" s="2224">
        <v>0</v>
      </c>
      <c r="F90" s="2223"/>
      <c r="G90" s="2223"/>
      <c r="H90" s="2225"/>
      <c r="I90" s="2226"/>
      <c r="J90" s="2226"/>
      <c r="K90" s="2227">
        <v>70833</v>
      </c>
      <c r="L90" s="2227"/>
      <c r="M90" s="2228"/>
      <c r="N90" s="2228"/>
      <c r="O90" s="2229"/>
      <c r="P90" s="2228"/>
      <c r="Q90" s="2228"/>
      <c r="R90" s="2228"/>
      <c r="S90" s="2228"/>
      <c r="T90" s="2230"/>
      <c r="U90" s="2230"/>
      <c r="V90" s="2230"/>
      <c r="W90" s="2228"/>
      <c r="X90" s="2231"/>
      <c r="Y90" s="2232"/>
      <c r="Z90" s="2232"/>
      <c r="AA90" s="2227">
        <f t="shared" si="6"/>
        <v>0</v>
      </c>
      <c r="AB90" s="2231"/>
      <c r="AC90" s="2223" t="s">
        <v>1861</v>
      </c>
      <c r="AD90" s="2224">
        <v>0</v>
      </c>
      <c r="AE90" s="2223"/>
      <c r="AF90" s="2223"/>
      <c r="AG90" s="2232"/>
      <c r="AH90" s="2233"/>
      <c r="AI90" s="2232"/>
      <c r="AJ90" s="2234"/>
      <c r="AK90" s="2229"/>
      <c r="AL90" s="2235"/>
      <c r="AM90" s="2236"/>
      <c r="AN90" s="2227"/>
      <c r="AO90" s="2236"/>
      <c r="AP90" s="2232"/>
      <c r="AQ90" s="2236"/>
      <c r="AR90" s="2232"/>
      <c r="AS90" s="2234"/>
      <c r="AT90" s="2232"/>
      <c r="AU90" s="2234"/>
      <c r="AV90" s="2232"/>
      <c r="AW90" s="2232"/>
      <c r="AX90" s="2232"/>
      <c r="AY90" s="2237"/>
      <c r="AZ90" s="2232"/>
      <c r="BA90" s="2232">
        <f t="shared" si="7"/>
        <v>70833</v>
      </c>
    </row>
    <row r="91" spans="1:53">
      <c r="A91" s="2226">
        <v>8</v>
      </c>
      <c r="B91" s="2168" t="s">
        <v>1984</v>
      </c>
      <c r="C91" s="2222" t="s">
        <v>1985</v>
      </c>
      <c r="D91" s="2223" t="s">
        <v>1861</v>
      </c>
      <c r="E91" s="2224">
        <v>0</v>
      </c>
      <c r="F91" s="2223"/>
      <c r="G91" s="2223"/>
      <c r="H91" s="2225"/>
      <c r="I91" s="2226"/>
      <c r="J91" s="2226"/>
      <c r="K91" s="2227">
        <v>29500</v>
      </c>
      <c r="L91" s="2227"/>
      <c r="M91" s="2228"/>
      <c r="N91" s="2228"/>
      <c r="O91" s="2229"/>
      <c r="P91" s="2228"/>
      <c r="Q91" s="2228"/>
      <c r="R91" s="2228"/>
      <c r="S91" s="2228"/>
      <c r="T91" s="2230"/>
      <c r="U91" s="2230"/>
      <c r="V91" s="2230"/>
      <c r="W91" s="2228"/>
      <c r="X91" s="2231"/>
      <c r="Y91" s="2232"/>
      <c r="Z91" s="2232"/>
      <c r="AA91" s="2227">
        <f t="shared" si="6"/>
        <v>0</v>
      </c>
      <c r="AB91" s="2231"/>
      <c r="AC91" s="2223" t="s">
        <v>1861</v>
      </c>
      <c r="AD91" s="2224">
        <v>0</v>
      </c>
      <c r="AE91" s="2223"/>
      <c r="AF91" s="2223"/>
      <c r="AG91" s="2232"/>
      <c r="AH91" s="2233"/>
      <c r="AI91" s="2232"/>
      <c r="AJ91" s="2234"/>
      <c r="AK91" s="2229"/>
      <c r="AL91" s="2235"/>
      <c r="AM91" s="2236"/>
      <c r="AN91" s="2227"/>
      <c r="AO91" s="2236"/>
      <c r="AP91" s="2232"/>
      <c r="AQ91" s="2236"/>
      <c r="AR91" s="2232"/>
      <c r="AS91" s="2234"/>
      <c r="AT91" s="2232"/>
      <c r="AU91" s="2234"/>
      <c r="AV91" s="2232"/>
      <c r="AW91" s="2232"/>
      <c r="AX91" s="2232"/>
      <c r="AY91" s="2237"/>
      <c r="AZ91" s="2232"/>
      <c r="BA91" s="2232">
        <f t="shared" si="7"/>
        <v>29500</v>
      </c>
    </row>
    <row r="92" spans="1:53">
      <c r="A92" s="2226">
        <v>9</v>
      </c>
      <c r="B92" s="2168" t="s">
        <v>1979</v>
      </c>
      <c r="C92" s="2222" t="s">
        <v>1980</v>
      </c>
      <c r="D92" s="2223" t="s">
        <v>1861</v>
      </c>
      <c r="E92" s="2224">
        <v>0</v>
      </c>
      <c r="F92" s="2223"/>
      <c r="G92" s="2223"/>
      <c r="H92" s="2225"/>
      <c r="I92" s="2226"/>
      <c r="J92" s="2226"/>
      <c r="K92" s="2227">
        <v>70833</v>
      </c>
      <c r="L92" s="2227"/>
      <c r="M92" s="2228"/>
      <c r="N92" s="2228"/>
      <c r="O92" s="2229"/>
      <c r="P92" s="2228"/>
      <c r="Q92" s="2228"/>
      <c r="R92" s="2228"/>
      <c r="S92" s="2228"/>
      <c r="T92" s="2230"/>
      <c r="U92" s="2230"/>
      <c r="V92" s="2230"/>
      <c r="W92" s="2228"/>
      <c r="X92" s="2231"/>
      <c r="Y92" s="2232"/>
      <c r="Z92" s="2232"/>
      <c r="AA92" s="2227">
        <f t="shared" si="6"/>
        <v>0</v>
      </c>
      <c r="AB92" s="2231"/>
      <c r="AC92" s="2223" t="s">
        <v>1861</v>
      </c>
      <c r="AD92" s="2224">
        <v>0</v>
      </c>
      <c r="AE92" s="2223"/>
      <c r="AF92" s="2223"/>
      <c r="AG92" s="2232"/>
      <c r="AH92" s="2233"/>
      <c r="AI92" s="2232"/>
      <c r="AJ92" s="2234"/>
      <c r="AK92" s="2229"/>
      <c r="AL92" s="2235"/>
      <c r="AM92" s="2236"/>
      <c r="AN92" s="2227"/>
      <c r="AO92" s="2236"/>
      <c r="AP92" s="2232"/>
      <c r="AQ92" s="2236"/>
      <c r="AR92" s="2232"/>
      <c r="AS92" s="2234"/>
      <c r="AT92" s="2232"/>
      <c r="AU92" s="2234"/>
      <c r="AV92" s="2232"/>
      <c r="AW92" s="2232"/>
      <c r="AX92" s="2232"/>
      <c r="AY92" s="2237"/>
      <c r="AZ92" s="2232"/>
      <c r="BA92" s="2232">
        <f t="shared" si="7"/>
        <v>70833</v>
      </c>
    </row>
    <row r="93" spans="1:53">
      <c r="A93" s="2226">
        <v>10</v>
      </c>
      <c r="B93" s="2168" t="s">
        <v>1854</v>
      </c>
      <c r="C93" s="2222" t="s">
        <v>1855</v>
      </c>
      <c r="D93" s="2223" t="s">
        <v>1856</v>
      </c>
      <c r="E93" s="2224" t="s">
        <v>2066</v>
      </c>
      <c r="F93" s="2223"/>
      <c r="G93" s="2223"/>
      <c r="H93" s="2225"/>
      <c r="I93" s="2226"/>
      <c r="J93" s="2226"/>
      <c r="K93" s="2227">
        <v>1280</v>
      </c>
      <c r="L93" s="2227"/>
      <c r="M93" s="2228"/>
      <c r="N93" s="2228"/>
      <c r="O93" s="2229"/>
      <c r="P93" s="2228"/>
      <c r="Q93" s="2228"/>
      <c r="R93" s="2228"/>
      <c r="S93" s="2228"/>
      <c r="T93" s="2230"/>
      <c r="U93" s="2230"/>
      <c r="V93" s="2230"/>
      <c r="W93" s="2228"/>
      <c r="X93" s="2231"/>
      <c r="Y93" s="2232"/>
      <c r="Z93" s="2232"/>
      <c r="AA93" s="2227">
        <f t="shared" si="6"/>
        <v>0</v>
      </c>
      <c r="AB93" s="2231"/>
      <c r="AC93" s="2223" t="s">
        <v>1856</v>
      </c>
      <c r="AD93" s="2224" t="s">
        <v>2066</v>
      </c>
      <c r="AE93" s="2223"/>
      <c r="AF93" s="2223"/>
      <c r="AG93" s="2232"/>
      <c r="AH93" s="2233"/>
      <c r="AI93" s="2232"/>
      <c r="AJ93" s="2234"/>
      <c r="AK93" s="2229"/>
      <c r="AL93" s="2235"/>
      <c r="AM93" s="2236"/>
      <c r="AN93" s="2227"/>
      <c r="AO93" s="2236"/>
      <c r="AP93" s="2232"/>
      <c r="AQ93" s="2236"/>
      <c r="AR93" s="2232"/>
      <c r="AS93" s="2234"/>
      <c r="AT93" s="2232"/>
      <c r="AU93" s="2234"/>
      <c r="AV93" s="2232"/>
      <c r="AW93" s="2232"/>
      <c r="AX93" s="2232"/>
      <c r="AY93" s="2237"/>
      <c r="AZ93" s="2232"/>
      <c r="BA93" s="2232">
        <f t="shared" si="7"/>
        <v>1280</v>
      </c>
    </row>
    <row r="94" spans="1:53">
      <c r="A94" s="2226">
        <v>11</v>
      </c>
      <c r="B94" s="2168" t="s">
        <v>1901</v>
      </c>
      <c r="C94" s="2222" t="s">
        <v>1902</v>
      </c>
      <c r="D94" s="2223" t="s">
        <v>1856</v>
      </c>
      <c r="E94" s="2224" t="s">
        <v>2066</v>
      </c>
      <c r="F94" s="2223"/>
      <c r="G94" s="2223"/>
      <c r="H94" s="2225"/>
      <c r="I94" s="2226"/>
      <c r="J94" s="2226"/>
      <c r="K94" s="2227">
        <v>1380</v>
      </c>
      <c r="L94" s="2227"/>
      <c r="M94" s="2228"/>
      <c r="N94" s="2228"/>
      <c r="O94" s="2229"/>
      <c r="P94" s="2228"/>
      <c r="Q94" s="2228"/>
      <c r="R94" s="2228"/>
      <c r="S94" s="2228"/>
      <c r="T94" s="2230"/>
      <c r="U94" s="2230"/>
      <c r="V94" s="2230"/>
      <c r="W94" s="2228"/>
      <c r="X94" s="2231"/>
      <c r="Y94" s="2232"/>
      <c r="Z94" s="2232"/>
      <c r="AA94" s="2227">
        <f t="shared" si="6"/>
        <v>0</v>
      </c>
      <c r="AB94" s="2231"/>
      <c r="AC94" s="2223" t="s">
        <v>1856</v>
      </c>
      <c r="AD94" s="2224" t="s">
        <v>2066</v>
      </c>
      <c r="AE94" s="2223"/>
      <c r="AF94" s="2223"/>
      <c r="AG94" s="2232"/>
      <c r="AH94" s="2233"/>
      <c r="AI94" s="2232"/>
      <c r="AJ94" s="2234"/>
      <c r="AK94" s="2229"/>
      <c r="AL94" s="2235"/>
      <c r="AM94" s="2236"/>
      <c r="AN94" s="2227"/>
      <c r="AO94" s="2236"/>
      <c r="AP94" s="2232"/>
      <c r="AQ94" s="2236"/>
      <c r="AR94" s="2232"/>
      <c r="AS94" s="2234"/>
      <c r="AT94" s="2232"/>
      <c r="AU94" s="2234"/>
      <c r="AV94" s="2232"/>
      <c r="AW94" s="2232"/>
      <c r="AX94" s="2232"/>
      <c r="AY94" s="2237"/>
      <c r="AZ94" s="2232"/>
      <c r="BA94" s="2232">
        <f t="shared" si="7"/>
        <v>1380</v>
      </c>
    </row>
    <row r="95" spans="1:53">
      <c r="A95" s="2226">
        <v>12</v>
      </c>
      <c r="B95" s="2168" t="s">
        <v>2042</v>
      </c>
      <c r="C95" s="2222" t="s">
        <v>2043</v>
      </c>
      <c r="D95" s="2223" t="s">
        <v>1856</v>
      </c>
      <c r="E95" s="2224" t="s">
        <v>2066</v>
      </c>
      <c r="F95" s="2223"/>
      <c r="G95" s="2223"/>
      <c r="H95" s="2225"/>
      <c r="I95" s="2226"/>
      <c r="J95" s="2226"/>
      <c r="K95" s="2227">
        <v>4091</v>
      </c>
      <c r="L95" s="2227"/>
      <c r="M95" s="2228"/>
      <c r="N95" s="2228"/>
      <c r="O95" s="2229"/>
      <c r="P95" s="2228"/>
      <c r="Q95" s="2228"/>
      <c r="R95" s="2228"/>
      <c r="S95" s="2228"/>
      <c r="T95" s="2230"/>
      <c r="U95" s="2230"/>
      <c r="V95" s="2230"/>
      <c r="W95" s="2228"/>
      <c r="X95" s="2231"/>
      <c r="Y95" s="2232"/>
      <c r="Z95" s="2232"/>
      <c r="AA95" s="2227">
        <f t="shared" si="6"/>
        <v>0</v>
      </c>
      <c r="AB95" s="2231"/>
      <c r="AC95" s="2223" t="s">
        <v>1856</v>
      </c>
      <c r="AD95" s="2224" t="s">
        <v>2066</v>
      </c>
      <c r="AE95" s="2223"/>
      <c r="AF95" s="2223"/>
      <c r="AG95" s="2232"/>
      <c r="AH95" s="2233"/>
      <c r="AI95" s="2232"/>
      <c r="AJ95" s="2234"/>
      <c r="AK95" s="2229"/>
      <c r="AL95" s="2235"/>
      <c r="AM95" s="2236"/>
      <c r="AN95" s="2227"/>
      <c r="AO95" s="2236"/>
      <c r="AP95" s="2232"/>
      <c r="AQ95" s="2236"/>
      <c r="AR95" s="2232"/>
      <c r="AS95" s="2234"/>
      <c r="AT95" s="2232"/>
      <c r="AU95" s="2234"/>
      <c r="AV95" s="2232"/>
      <c r="AW95" s="2232"/>
      <c r="AX95" s="2232"/>
      <c r="AY95" s="2237"/>
      <c r="AZ95" s="2232"/>
      <c r="BA95" s="2232">
        <f t="shared" si="7"/>
        <v>4091</v>
      </c>
    </row>
    <row r="96" spans="1:53">
      <c r="A96" s="2193"/>
      <c r="B96" s="2169"/>
      <c r="C96" s="2189"/>
      <c r="D96" s="2190"/>
      <c r="E96" s="2191"/>
      <c r="F96" s="2190"/>
      <c r="G96" s="2190"/>
      <c r="H96" s="2192"/>
      <c r="I96" s="2193"/>
      <c r="J96" s="2193"/>
      <c r="K96" s="2194"/>
      <c r="L96" s="2194"/>
      <c r="M96" s="2195"/>
      <c r="N96" s="2195"/>
      <c r="O96" s="2196"/>
      <c r="P96" s="2195"/>
      <c r="Q96" s="2195"/>
      <c r="R96" s="2195"/>
      <c r="S96" s="2195"/>
      <c r="T96" s="2197"/>
      <c r="U96" s="2197"/>
      <c r="V96" s="2197"/>
      <c r="W96" s="2195"/>
      <c r="X96" s="2198"/>
      <c r="Y96" s="2199"/>
      <c r="Z96" s="2199"/>
      <c r="AA96" s="2194"/>
      <c r="AB96" s="2198"/>
      <c r="AC96" s="2190"/>
      <c r="AD96" s="2191"/>
      <c r="AE96" s="2190"/>
      <c r="AF96" s="2190"/>
      <c r="AG96" s="2199"/>
      <c r="AH96" s="2200"/>
      <c r="AI96" s="2199"/>
      <c r="AJ96" s="2201"/>
      <c r="AK96" s="2196"/>
      <c r="AL96" s="2202"/>
      <c r="AM96" s="2203"/>
      <c r="AN96" s="2194"/>
      <c r="AO96" s="2203"/>
      <c r="AP96" s="2199"/>
      <c r="AQ96" s="2203"/>
      <c r="AR96" s="2199"/>
      <c r="AS96" s="2201"/>
      <c r="AT96" s="2199"/>
      <c r="AU96" s="2201"/>
      <c r="AV96" s="2199"/>
      <c r="AW96" s="2199"/>
      <c r="AX96" s="2199"/>
      <c r="AY96" s="2204"/>
      <c r="AZ96" s="2199"/>
      <c r="BA96" s="2199"/>
    </row>
    <row r="97" spans="1:53" ht="22.5">
      <c r="A97" s="1246" t="s">
        <v>182</v>
      </c>
      <c r="B97" s="1247"/>
      <c r="C97" s="1248"/>
      <c r="D97" s="1248"/>
      <c r="E97" s="1248"/>
      <c r="F97" s="1248"/>
      <c r="G97" s="1248"/>
      <c r="H97" s="1249"/>
      <c r="I97" s="1249"/>
      <c r="J97" s="1249"/>
      <c r="K97" s="1249"/>
      <c r="L97" s="1249"/>
      <c r="M97" s="1249"/>
      <c r="N97" s="1249"/>
      <c r="O97" s="1249"/>
      <c r="P97" s="1249"/>
      <c r="Q97" s="1249"/>
      <c r="R97" s="1249"/>
      <c r="S97" s="1249"/>
      <c r="T97" s="1249"/>
      <c r="U97" s="1249"/>
      <c r="V97" s="1249"/>
      <c r="W97" s="101"/>
      <c r="X97" s="1249"/>
      <c r="Y97" s="1249"/>
      <c r="Z97" s="1249"/>
      <c r="AA97" s="1249"/>
      <c r="AB97" s="1249"/>
      <c r="AC97" s="1248"/>
      <c r="AD97" s="1248"/>
      <c r="AE97" s="1248"/>
      <c r="AF97" s="1248"/>
      <c r="AG97" s="1249"/>
      <c r="AH97" s="1249"/>
      <c r="AI97" s="1249"/>
      <c r="AJ97" s="1249"/>
      <c r="AK97" s="1249"/>
      <c r="AM97" s="1249"/>
      <c r="AN97" s="1249"/>
      <c r="AO97" s="1249"/>
      <c r="AP97" s="1249"/>
      <c r="AQ97" s="1249"/>
      <c r="AR97" s="1249"/>
      <c r="AS97" s="1249"/>
      <c r="AT97" s="1249"/>
      <c r="AU97" s="1249"/>
      <c r="AV97" s="1249"/>
      <c r="AW97" s="1249"/>
      <c r="AX97" s="1249"/>
      <c r="AY97" s="1249"/>
      <c r="AZ97" s="1249"/>
      <c r="BA97" s="1249"/>
    </row>
    <row r="98" spans="1:53" ht="18.75">
      <c r="A98" s="1250" t="str">
        <f>Ts!H4&amp;Ts!K4</f>
        <v>CÔNG TRÌNH: NHÀ 01 TẦNG, TƯỜNG CHỊU LỰC 110MM, MÁI LỢP FIBRÔXIMĂNG, KHÔNG CÓ KHU VỆ SINH KHÉP KÍN</v>
      </c>
      <c r="B98" s="1247"/>
      <c r="C98" s="1251"/>
      <c r="D98" s="1251"/>
      <c r="E98" s="1251"/>
      <c r="F98" s="1251"/>
      <c r="G98" s="1251"/>
      <c r="H98" s="1127"/>
      <c r="I98" s="1127"/>
      <c r="J98" s="1127"/>
      <c r="K98" s="1127"/>
      <c r="L98" s="1127"/>
      <c r="M98" s="1127"/>
      <c r="N98" s="1127"/>
      <c r="O98" s="1127"/>
      <c r="P98" s="1127"/>
      <c r="Q98" s="1127"/>
      <c r="R98" s="1127"/>
      <c r="S98" s="1127"/>
      <c r="T98" s="1127"/>
      <c r="U98" s="1127"/>
      <c r="V98" s="1127"/>
      <c r="W98" s="6"/>
      <c r="X98" s="1127"/>
      <c r="Y98" s="1127"/>
      <c r="Z98" s="1127"/>
      <c r="AA98" s="1127"/>
      <c r="AB98" s="1127"/>
      <c r="AC98" s="1251"/>
      <c r="AD98" s="1251"/>
      <c r="AE98" s="1251"/>
      <c r="AF98" s="1251"/>
      <c r="AG98" s="1127"/>
      <c r="AH98" s="1127"/>
      <c r="AI98" s="1127"/>
      <c r="AJ98" s="1127"/>
      <c r="AK98" s="1127"/>
      <c r="AL98" s="1253"/>
      <c r="AM98" s="1127"/>
      <c r="AN98" s="1127"/>
      <c r="AO98" s="1249"/>
      <c r="AP98" s="1249"/>
      <c r="AQ98" s="1249"/>
      <c r="AR98" s="1249"/>
      <c r="AS98" s="1249"/>
      <c r="AT98" s="1249"/>
      <c r="AU98" s="1249"/>
      <c r="AV98" s="1249"/>
      <c r="AW98" s="1249"/>
      <c r="AX98" s="1249"/>
      <c r="AY98" s="1249"/>
      <c r="AZ98" s="1249"/>
      <c r="BA98" s="1249"/>
    </row>
    <row r="99" spans="1:53" ht="18.75">
      <c r="A99" s="1250" t="s">
        <v>2074</v>
      </c>
      <c r="B99" s="1247"/>
      <c r="C99" s="1251"/>
      <c r="D99" s="1251"/>
      <c r="E99" s="1251"/>
      <c r="F99" s="1251"/>
      <c r="G99" s="1251"/>
      <c r="H99" s="1127"/>
      <c r="I99" s="1127"/>
      <c r="J99" s="1127"/>
      <c r="K99" s="1127"/>
      <c r="L99" s="1127"/>
      <c r="M99" s="1127"/>
      <c r="N99" s="1127"/>
      <c r="O99" s="1127"/>
      <c r="P99" s="1127"/>
      <c r="Q99" s="1127"/>
      <c r="R99" s="1127"/>
      <c r="S99" s="1127"/>
      <c r="T99" s="1127"/>
      <c r="U99" s="1127"/>
      <c r="V99" s="1127"/>
      <c r="W99" s="6"/>
      <c r="X99" s="1127"/>
      <c r="Y99" s="1127"/>
      <c r="Z99" s="1127"/>
      <c r="AA99" s="1127"/>
      <c r="AB99" s="1127"/>
      <c r="AC99" s="1251"/>
      <c r="AD99" s="1251"/>
      <c r="AE99" s="1251"/>
      <c r="AF99" s="1251"/>
      <c r="AG99" s="1127"/>
      <c r="AH99" s="1127"/>
      <c r="AI99" s="1127"/>
      <c r="AJ99" s="1127"/>
      <c r="AK99" s="1127"/>
      <c r="AL99" s="1253"/>
      <c r="AM99" s="1127"/>
      <c r="AN99" s="1127"/>
      <c r="AO99" s="1249"/>
      <c r="AP99" s="1249"/>
      <c r="AQ99" s="1249"/>
      <c r="AR99" s="1249"/>
      <c r="AS99" s="1249"/>
      <c r="AT99" s="1249"/>
      <c r="AU99" s="1249"/>
      <c r="AV99" s="1249"/>
      <c r="AW99" s="1249"/>
      <c r="AX99" s="1249"/>
      <c r="AY99" s="1249"/>
      <c r="AZ99" s="1249"/>
      <c r="BA99" s="1249"/>
    </row>
    <row r="100" spans="1:53" hidden="1">
      <c r="A100" s="649"/>
      <c r="B100" s="1228"/>
      <c r="C100" s="1241"/>
      <c r="D100" s="1359" t="s">
        <v>897</v>
      </c>
      <c r="E100" s="1359"/>
      <c r="F100" s="1359"/>
      <c r="G100" s="1359"/>
      <c r="H100" s="1359"/>
      <c r="I100" s="1359"/>
      <c r="J100" s="1359"/>
      <c r="K100" s="1359"/>
      <c r="L100" s="1359"/>
      <c r="M100" s="1359"/>
      <c r="N100" s="1359"/>
      <c r="O100" s="1359"/>
      <c r="P100" s="1359"/>
      <c r="Q100" s="1359"/>
      <c r="R100" s="1359"/>
      <c r="S100" s="1359"/>
      <c r="T100" s="1359"/>
      <c r="U100" s="1359"/>
      <c r="V100" s="1359"/>
      <c r="W100" s="1359"/>
      <c r="X100" s="1359"/>
      <c r="Y100" s="1359"/>
      <c r="Z100" s="1359"/>
      <c r="AA100" s="1359"/>
      <c r="AB100" s="1360" t="s">
        <v>898</v>
      </c>
      <c r="AC100" s="1361"/>
      <c r="AD100" s="1361"/>
      <c r="AE100" s="1361"/>
      <c r="AF100" s="1361"/>
      <c r="AG100" s="1361"/>
      <c r="AH100" s="1361"/>
      <c r="AI100" s="1361"/>
      <c r="AJ100" s="1361"/>
      <c r="AK100" s="1361"/>
      <c r="AL100" s="1361"/>
      <c r="AM100" s="1361"/>
      <c r="AN100" s="1361"/>
      <c r="AO100" s="1361"/>
      <c r="AP100" s="1361"/>
      <c r="AQ100" s="1361"/>
      <c r="AR100" s="1361"/>
      <c r="AS100" s="1361"/>
      <c r="AT100" s="1361"/>
      <c r="AU100" s="1362"/>
      <c r="AV100" s="1361"/>
      <c r="AW100" s="1361"/>
      <c r="AX100" s="1363"/>
      <c r="AY100" s="1234"/>
      <c r="AZ100" s="1243"/>
      <c r="BA100" s="1243"/>
    </row>
    <row r="101" spans="1:53">
      <c r="A101" s="2542" t="s">
        <v>196</v>
      </c>
      <c r="B101" s="2542" t="s">
        <v>135</v>
      </c>
      <c r="C101" s="2542" t="s">
        <v>141</v>
      </c>
      <c r="D101" s="2542" t="s">
        <v>1166</v>
      </c>
      <c r="E101" s="2554" t="s">
        <v>142</v>
      </c>
      <c r="F101" s="2562" t="s">
        <v>1167</v>
      </c>
      <c r="G101" s="2562" t="s">
        <v>928</v>
      </c>
      <c r="H101" s="2576" t="s">
        <v>1169</v>
      </c>
      <c r="I101" s="2562" t="s">
        <v>867</v>
      </c>
      <c r="J101" s="2562" t="s">
        <v>20</v>
      </c>
      <c r="K101" s="2552" t="s">
        <v>1007</v>
      </c>
      <c r="L101" s="2562" t="s">
        <v>868</v>
      </c>
      <c r="M101" s="2562" t="s">
        <v>143</v>
      </c>
      <c r="N101" s="2562" t="s">
        <v>144</v>
      </c>
      <c r="O101" s="2560" t="s">
        <v>869</v>
      </c>
      <c r="P101" s="2573" t="s">
        <v>870</v>
      </c>
      <c r="Q101" s="2574"/>
      <c r="R101" s="2574"/>
      <c r="S101" s="2575"/>
      <c r="T101" s="2570" t="s">
        <v>871</v>
      </c>
      <c r="U101" s="2571"/>
      <c r="V101" s="2571"/>
      <c r="W101" s="2572"/>
      <c r="X101" s="2562" t="s">
        <v>900</v>
      </c>
      <c r="Y101" s="2552" t="s">
        <v>872</v>
      </c>
      <c r="Z101" s="2562" t="s">
        <v>873</v>
      </c>
      <c r="AA101" s="2562" t="s">
        <v>622</v>
      </c>
      <c r="AB101" s="2566" t="s">
        <v>1170</v>
      </c>
      <c r="AC101" s="2562" t="s">
        <v>1166</v>
      </c>
      <c r="AD101" s="2554" t="s">
        <v>142</v>
      </c>
      <c r="AE101" s="2562" t="s">
        <v>1168</v>
      </c>
      <c r="AF101" s="2562" t="s">
        <v>928</v>
      </c>
      <c r="AG101" s="2562" t="s">
        <v>874</v>
      </c>
      <c r="AH101" s="2562" t="s">
        <v>875</v>
      </c>
      <c r="AI101" s="2562" t="s">
        <v>876</v>
      </c>
      <c r="AJ101" s="2560" t="s">
        <v>877</v>
      </c>
      <c r="AK101" s="2560" t="s">
        <v>878</v>
      </c>
      <c r="AL101" s="2564" t="s">
        <v>879</v>
      </c>
      <c r="AM101" s="2554" t="s">
        <v>880</v>
      </c>
      <c r="AN101" s="2552" t="s">
        <v>881</v>
      </c>
      <c r="AO101" s="2554" t="s">
        <v>882</v>
      </c>
      <c r="AP101" s="2552" t="s">
        <v>883</v>
      </c>
      <c r="AQ101" s="2554" t="s">
        <v>884</v>
      </c>
      <c r="AR101" s="2552" t="s">
        <v>885</v>
      </c>
      <c r="AS101" s="2560" t="s">
        <v>886</v>
      </c>
      <c r="AT101" s="2552" t="s">
        <v>887</v>
      </c>
      <c r="AU101" s="2560" t="s">
        <v>888</v>
      </c>
      <c r="AV101" s="2552" t="s">
        <v>889</v>
      </c>
      <c r="AW101" s="2552" t="s">
        <v>890</v>
      </c>
      <c r="AX101" s="2552" t="s">
        <v>891</v>
      </c>
      <c r="AY101" s="2556" t="s">
        <v>899</v>
      </c>
      <c r="AZ101" s="2552" t="s">
        <v>892</v>
      </c>
      <c r="BA101" s="2558" t="s">
        <v>682</v>
      </c>
    </row>
    <row r="102" spans="1:53" ht="47.25">
      <c r="A102" s="2568"/>
      <c r="B102" s="2568"/>
      <c r="C102" s="2568"/>
      <c r="D102" s="2568"/>
      <c r="E102" s="2569"/>
      <c r="F102" s="2579"/>
      <c r="G102" s="2579"/>
      <c r="H102" s="2581"/>
      <c r="I102" s="2579"/>
      <c r="J102" s="2579"/>
      <c r="K102" s="2578"/>
      <c r="L102" s="2579"/>
      <c r="M102" s="2579"/>
      <c r="N102" s="2579"/>
      <c r="O102" s="2580"/>
      <c r="P102" s="1358" t="s">
        <v>893</v>
      </c>
      <c r="Q102" s="1358" t="s">
        <v>894</v>
      </c>
      <c r="R102" s="1358" t="s">
        <v>929</v>
      </c>
      <c r="S102" s="1358" t="s">
        <v>1005</v>
      </c>
      <c r="T102" s="1357" t="s">
        <v>895</v>
      </c>
      <c r="U102" s="1357" t="s">
        <v>896</v>
      </c>
      <c r="V102" s="1357" t="s">
        <v>930</v>
      </c>
      <c r="W102" s="1358" t="s">
        <v>1006</v>
      </c>
      <c r="X102" s="2579"/>
      <c r="Y102" s="2578"/>
      <c r="Z102" s="2579"/>
      <c r="AA102" s="2579"/>
      <c r="AB102" s="2582"/>
      <c r="AC102" s="2579"/>
      <c r="AD102" s="2569"/>
      <c r="AE102" s="2579"/>
      <c r="AF102" s="2579"/>
      <c r="AG102" s="2579"/>
      <c r="AH102" s="2579"/>
      <c r="AI102" s="2579"/>
      <c r="AJ102" s="2580"/>
      <c r="AK102" s="2580"/>
      <c r="AL102" s="2583"/>
      <c r="AM102" s="2569"/>
      <c r="AN102" s="2578"/>
      <c r="AO102" s="2569"/>
      <c r="AP102" s="2578"/>
      <c r="AQ102" s="2569"/>
      <c r="AR102" s="2578"/>
      <c r="AS102" s="2580"/>
      <c r="AT102" s="2578"/>
      <c r="AU102" s="2580"/>
      <c r="AV102" s="2578"/>
      <c r="AW102" s="2578"/>
      <c r="AX102" s="2578"/>
      <c r="AY102" s="2585"/>
      <c r="AZ102" s="2578"/>
      <c r="BA102" s="2584"/>
    </row>
    <row r="103" spans="1:53">
      <c r="A103" s="2210">
        <v>1</v>
      </c>
      <c r="B103" s="2205" t="s">
        <v>1993</v>
      </c>
      <c r="C103" s="2206" t="s">
        <v>1994</v>
      </c>
      <c r="D103" s="2207" t="s">
        <v>1955</v>
      </c>
      <c r="E103" s="2208">
        <v>0</v>
      </c>
      <c r="F103" s="2207"/>
      <c r="G103" s="2207"/>
      <c r="H103" s="2209"/>
      <c r="I103" s="2210"/>
      <c r="J103" s="2210"/>
      <c r="K103" s="2211">
        <v>2000</v>
      </c>
      <c r="L103" s="2211"/>
      <c r="M103" s="2212"/>
      <c r="N103" s="2212"/>
      <c r="O103" s="2213"/>
      <c r="P103" s="2212"/>
      <c r="Q103" s="2212"/>
      <c r="R103" s="2212"/>
      <c r="S103" s="2212"/>
      <c r="T103" s="2214"/>
      <c r="U103" s="2214"/>
      <c r="V103" s="2214"/>
      <c r="W103" s="2212"/>
      <c r="X103" s="2215"/>
      <c r="Y103" s="2216"/>
      <c r="Z103" s="2216"/>
      <c r="AA103" s="2211">
        <f t="shared" ref="AA103:AA109" si="8">Z103</f>
        <v>0</v>
      </c>
      <c r="AB103" s="2215"/>
      <c r="AC103" s="2207" t="s">
        <v>1955</v>
      </c>
      <c r="AD103" s="2208">
        <v>0</v>
      </c>
      <c r="AE103" s="2207"/>
      <c r="AF103" s="2207"/>
      <c r="AG103" s="2216"/>
      <c r="AH103" s="2217"/>
      <c r="AI103" s="2216"/>
      <c r="AJ103" s="2218"/>
      <c r="AK103" s="2213"/>
      <c r="AL103" s="2219"/>
      <c r="AM103" s="2220"/>
      <c r="AN103" s="2211"/>
      <c r="AO103" s="2220"/>
      <c r="AP103" s="2216"/>
      <c r="AQ103" s="2220"/>
      <c r="AR103" s="2216"/>
      <c r="AS103" s="2218"/>
      <c r="AT103" s="2216"/>
      <c r="AU103" s="2218"/>
      <c r="AV103" s="2216"/>
      <c r="AW103" s="2216"/>
      <c r="AX103" s="2216"/>
      <c r="AY103" s="2221"/>
      <c r="AZ103" s="2216"/>
      <c r="BA103" s="2216">
        <f t="shared" ref="BA103:BA109" si="9">K103+AA103+AW103+AX103+AZ103</f>
        <v>2000</v>
      </c>
    </row>
    <row r="104" spans="1:53">
      <c r="A104" s="2226">
        <v>2</v>
      </c>
      <c r="B104" s="2168" t="s">
        <v>1857</v>
      </c>
      <c r="C104" s="2222" t="s">
        <v>1858</v>
      </c>
      <c r="D104" s="2223" t="s">
        <v>1848</v>
      </c>
      <c r="E104" s="2224" t="s">
        <v>2063</v>
      </c>
      <c r="F104" s="2223"/>
      <c r="G104" s="2223"/>
      <c r="H104" s="2225"/>
      <c r="I104" s="2226"/>
      <c r="J104" s="2226"/>
      <c r="K104" s="2227">
        <v>435000</v>
      </c>
      <c r="L104" s="2227"/>
      <c r="M104" s="2228"/>
      <c r="N104" s="2228"/>
      <c r="O104" s="2229"/>
      <c r="P104" s="2228"/>
      <c r="Q104" s="2228"/>
      <c r="R104" s="2228"/>
      <c r="S104" s="2228"/>
      <c r="T104" s="2230"/>
      <c r="U104" s="2230"/>
      <c r="V104" s="2230"/>
      <c r="W104" s="2228"/>
      <c r="X104" s="2231"/>
      <c r="Y104" s="2232"/>
      <c r="Z104" s="2232"/>
      <c r="AA104" s="2227">
        <f t="shared" si="8"/>
        <v>0</v>
      </c>
      <c r="AB104" s="2231"/>
      <c r="AC104" s="2223" t="s">
        <v>1848</v>
      </c>
      <c r="AD104" s="2224" t="s">
        <v>2063</v>
      </c>
      <c r="AE104" s="2223"/>
      <c r="AF104" s="2223"/>
      <c r="AG104" s="2232"/>
      <c r="AH104" s="2233"/>
      <c r="AI104" s="2232"/>
      <c r="AJ104" s="2234"/>
      <c r="AK104" s="2229"/>
      <c r="AL104" s="2235"/>
      <c r="AM104" s="2236"/>
      <c r="AN104" s="2227"/>
      <c r="AO104" s="2236"/>
      <c r="AP104" s="2232"/>
      <c r="AQ104" s="2236"/>
      <c r="AR104" s="2232"/>
      <c r="AS104" s="2234"/>
      <c r="AT104" s="2232"/>
      <c r="AU104" s="2234"/>
      <c r="AV104" s="2232"/>
      <c r="AW104" s="2232"/>
      <c r="AX104" s="2232"/>
      <c r="AY104" s="2237"/>
      <c r="AZ104" s="2232"/>
      <c r="BA104" s="2232">
        <f t="shared" si="9"/>
        <v>435000</v>
      </c>
    </row>
    <row r="105" spans="1:53">
      <c r="A105" s="2226">
        <v>3</v>
      </c>
      <c r="B105" s="2168" t="s">
        <v>1988</v>
      </c>
      <c r="C105" s="2222" t="s">
        <v>1989</v>
      </c>
      <c r="D105" s="2223" t="s">
        <v>1939</v>
      </c>
      <c r="E105" s="2224">
        <v>0</v>
      </c>
      <c r="F105" s="2223"/>
      <c r="G105" s="2223"/>
      <c r="H105" s="2225"/>
      <c r="I105" s="2226"/>
      <c r="J105" s="2226"/>
      <c r="K105" s="2227">
        <v>8000</v>
      </c>
      <c r="L105" s="2227"/>
      <c r="M105" s="2228"/>
      <c r="N105" s="2228"/>
      <c r="O105" s="2229"/>
      <c r="P105" s="2228"/>
      <c r="Q105" s="2228"/>
      <c r="R105" s="2228"/>
      <c r="S105" s="2228"/>
      <c r="T105" s="2230"/>
      <c r="U105" s="2230"/>
      <c r="V105" s="2230"/>
      <c r="W105" s="2228"/>
      <c r="X105" s="2231"/>
      <c r="Y105" s="2232"/>
      <c r="Z105" s="2232"/>
      <c r="AA105" s="2227">
        <f t="shared" si="8"/>
        <v>0</v>
      </c>
      <c r="AB105" s="2231"/>
      <c r="AC105" s="2223" t="s">
        <v>1939</v>
      </c>
      <c r="AD105" s="2224">
        <v>0</v>
      </c>
      <c r="AE105" s="2223"/>
      <c r="AF105" s="2223"/>
      <c r="AG105" s="2232"/>
      <c r="AH105" s="2233"/>
      <c r="AI105" s="2232"/>
      <c r="AJ105" s="2234"/>
      <c r="AK105" s="2229"/>
      <c r="AL105" s="2235"/>
      <c r="AM105" s="2236"/>
      <c r="AN105" s="2227"/>
      <c r="AO105" s="2236"/>
      <c r="AP105" s="2232"/>
      <c r="AQ105" s="2236"/>
      <c r="AR105" s="2232"/>
      <c r="AS105" s="2234"/>
      <c r="AT105" s="2232"/>
      <c r="AU105" s="2234"/>
      <c r="AV105" s="2232"/>
      <c r="AW105" s="2232"/>
      <c r="AX105" s="2232"/>
      <c r="AY105" s="2237"/>
      <c r="AZ105" s="2232"/>
      <c r="BA105" s="2232">
        <f t="shared" si="9"/>
        <v>8000</v>
      </c>
    </row>
    <row r="106" spans="1:53">
      <c r="A106" s="2226">
        <v>4</v>
      </c>
      <c r="B106" s="2168" t="s">
        <v>1859</v>
      </c>
      <c r="C106" s="2222" t="s">
        <v>1860</v>
      </c>
      <c r="D106" s="2223" t="s">
        <v>1861</v>
      </c>
      <c r="E106" s="2224">
        <v>0</v>
      </c>
      <c r="F106" s="2223"/>
      <c r="G106" s="2223"/>
      <c r="H106" s="2225"/>
      <c r="I106" s="2226"/>
      <c r="J106" s="2226"/>
      <c r="K106" s="2227">
        <v>8</v>
      </c>
      <c r="L106" s="2227"/>
      <c r="M106" s="2228"/>
      <c r="N106" s="2228"/>
      <c r="O106" s="2229"/>
      <c r="P106" s="2228"/>
      <c r="Q106" s="2228"/>
      <c r="R106" s="2228"/>
      <c r="S106" s="2228"/>
      <c r="T106" s="2230"/>
      <c r="U106" s="2230"/>
      <c r="V106" s="2230"/>
      <c r="W106" s="2228"/>
      <c r="X106" s="2231"/>
      <c r="Y106" s="2232"/>
      <c r="Z106" s="2232"/>
      <c r="AA106" s="2227">
        <f t="shared" si="8"/>
        <v>0</v>
      </c>
      <c r="AB106" s="2231"/>
      <c r="AC106" s="2223" t="s">
        <v>1861</v>
      </c>
      <c r="AD106" s="2224">
        <v>0</v>
      </c>
      <c r="AE106" s="2223"/>
      <c r="AF106" s="2223"/>
      <c r="AG106" s="2232"/>
      <c r="AH106" s="2233"/>
      <c r="AI106" s="2232"/>
      <c r="AJ106" s="2234"/>
      <c r="AK106" s="2229"/>
      <c r="AL106" s="2235"/>
      <c r="AM106" s="2236"/>
      <c r="AN106" s="2227"/>
      <c r="AO106" s="2236"/>
      <c r="AP106" s="2232"/>
      <c r="AQ106" s="2236"/>
      <c r="AR106" s="2232"/>
      <c r="AS106" s="2234"/>
      <c r="AT106" s="2232"/>
      <c r="AU106" s="2234"/>
      <c r="AV106" s="2232"/>
      <c r="AW106" s="2232"/>
      <c r="AX106" s="2232"/>
      <c r="AY106" s="2237"/>
      <c r="AZ106" s="2232"/>
      <c r="BA106" s="2232">
        <f t="shared" si="9"/>
        <v>8</v>
      </c>
    </row>
    <row r="107" spans="1:53">
      <c r="A107" s="2226">
        <v>5</v>
      </c>
      <c r="B107" s="2168" t="s">
        <v>1894</v>
      </c>
      <c r="C107" s="2222" t="s">
        <v>1895</v>
      </c>
      <c r="D107" s="2223" t="s">
        <v>1856</v>
      </c>
      <c r="E107" s="2224" t="s">
        <v>2066</v>
      </c>
      <c r="F107" s="2223"/>
      <c r="G107" s="2223"/>
      <c r="H107" s="2225"/>
      <c r="I107" s="2226"/>
      <c r="J107" s="2226"/>
      <c r="K107" s="2227">
        <v>21000</v>
      </c>
      <c r="L107" s="2227"/>
      <c r="M107" s="2228"/>
      <c r="N107" s="2228"/>
      <c r="O107" s="2229"/>
      <c r="P107" s="2228"/>
      <c r="Q107" s="2228"/>
      <c r="R107" s="2228"/>
      <c r="S107" s="2228"/>
      <c r="T107" s="2230"/>
      <c r="U107" s="2230"/>
      <c r="V107" s="2230"/>
      <c r="W107" s="2228"/>
      <c r="X107" s="2231"/>
      <c r="Y107" s="2232"/>
      <c r="Z107" s="2232"/>
      <c r="AA107" s="2227">
        <f t="shared" si="8"/>
        <v>0</v>
      </c>
      <c r="AB107" s="2231"/>
      <c r="AC107" s="2223" t="s">
        <v>1856</v>
      </c>
      <c r="AD107" s="2224" t="s">
        <v>2066</v>
      </c>
      <c r="AE107" s="2223"/>
      <c r="AF107" s="2223"/>
      <c r="AG107" s="2232"/>
      <c r="AH107" s="2233"/>
      <c r="AI107" s="2232"/>
      <c r="AJ107" s="2234"/>
      <c r="AK107" s="2229"/>
      <c r="AL107" s="2235"/>
      <c r="AM107" s="2236"/>
      <c r="AN107" s="2227"/>
      <c r="AO107" s="2236"/>
      <c r="AP107" s="2232"/>
      <c r="AQ107" s="2236"/>
      <c r="AR107" s="2232"/>
      <c r="AS107" s="2234"/>
      <c r="AT107" s="2232"/>
      <c r="AU107" s="2234"/>
      <c r="AV107" s="2232"/>
      <c r="AW107" s="2232"/>
      <c r="AX107" s="2232"/>
      <c r="AY107" s="2237"/>
      <c r="AZ107" s="2232"/>
      <c r="BA107" s="2232">
        <f t="shared" si="9"/>
        <v>21000</v>
      </c>
    </row>
    <row r="108" spans="1:53">
      <c r="A108" s="2226">
        <v>6</v>
      </c>
      <c r="B108" s="2168" t="s">
        <v>1986</v>
      </c>
      <c r="C108" s="2222" t="s">
        <v>1987</v>
      </c>
      <c r="D108" s="2223" t="s">
        <v>1856</v>
      </c>
      <c r="E108" s="2224" t="s">
        <v>2066</v>
      </c>
      <c r="F108" s="2223"/>
      <c r="G108" s="2223"/>
      <c r="H108" s="2225"/>
      <c r="I108" s="2226"/>
      <c r="J108" s="2226"/>
      <c r="K108" s="2227">
        <v>22100</v>
      </c>
      <c r="L108" s="2227"/>
      <c r="M108" s="2228"/>
      <c r="N108" s="2228"/>
      <c r="O108" s="2229"/>
      <c r="P108" s="2228"/>
      <c r="Q108" s="2228"/>
      <c r="R108" s="2228"/>
      <c r="S108" s="2228"/>
      <c r="T108" s="2230"/>
      <c r="U108" s="2230"/>
      <c r="V108" s="2230"/>
      <c r="W108" s="2228"/>
      <c r="X108" s="2231"/>
      <c r="Y108" s="2232"/>
      <c r="Z108" s="2232"/>
      <c r="AA108" s="2227">
        <f t="shared" si="8"/>
        <v>0</v>
      </c>
      <c r="AB108" s="2231"/>
      <c r="AC108" s="2223" t="s">
        <v>1856</v>
      </c>
      <c r="AD108" s="2224" t="s">
        <v>2066</v>
      </c>
      <c r="AE108" s="2223"/>
      <c r="AF108" s="2223"/>
      <c r="AG108" s="2232"/>
      <c r="AH108" s="2233"/>
      <c r="AI108" s="2232"/>
      <c r="AJ108" s="2234"/>
      <c r="AK108" s="2229"/>
      <c r="AL108" s="2235"/>
      <c r="AM108" s="2236"/>
      <c r="AN108" s="2227"/>
      <c r="AO108" s="2236"/>
      <c r="AP108" s="2232"/>
      <c r="AQ108" s="2236"/>
      <c r="AR108" s="2232"/>
      <c r="AS108" s="2234"/>
      <c r="AT108" s="2232"/>
      <c r="AU108" s="2234"/>
      <c r="AV108" s="2232"/>
      <c r="AW108" s="2232"/>
      <c r="AX108" s="2232"/>
      <c r="AY108" s="2237"/>
      <c r="AZ108" s="2232"/>
      <c r="BA108" s="2232">
        <f t="shared" si="9"/>
        <v>22100</v>
      </c>
    </row>
    <row r="109" spans="1:53">
      <c r="A109" s="2226">
        <v>7</v>
      </c>
      <c r="B109" s="2168" t="s">
        <v>1901</v>
      </c>
      <c r="C109" s="2222" t="s">
        <v>1902</v>
      </c>
      <c r="D109" s="2223" t="s">
        <v>1856</v>
      </c>
      <c r="E109" s="2224" t="s">
        <v>2066</v>
      </c>
      <c r="F109" s="2223"/>
      <c r="G109" s="2223"/>
      <c r="H109" s="2225"/>
      <c r="I109" s="2226"/>
      <c r="J109" s="2226"/>
      <c r="K109" s="2227">
        <v>1380</v>
      </c>
      <c r="L109" s="2227"/>
      <c r="M109" s="2228"/>
      <c r="N109" s="2228"/>
      <c r="O109" s="2229"/>
      <c r="P109" s="2228"/>
      <c r="Q109" s="2228"/>
      <c r="R109" s="2228"/>
      <c r="S109" s="2228"/>
      <c r="T109" s="2230"/>
      <c r="U109" s="2230"/>
      <c r="V109" s="2230"/>
      <c r="W109" s="2228"/>
      <c r="X109" s="2231"/>
      <c r="Y109" s="2232"/>
      <c r="Z109" s="2232"/>
      <c r="AA109" s="2227">
        <f t="shared" si="8"/>
        <v>0</v>
      </c>
      <c r="AB109" s="2231"/>
      <c r="AC109" s="2223" t="s">
        <v>1856</v>
      </c>
      <c r="AD109" s="2224" t="s">
        <v>2066</v>
      </c>
      <c r="AE109" s="2223"/>
      <c r="AF109" s="2223"/>
      <c r="AG109" s="2232"/>
      <c r="AH109" s="2233"/>
      <c r="AI109" s="2232"/>
      <c r="AJ109" s="2234"/>
      <c r="AK109" s="2229"/>
      <c r="AL109" s="2235"/>
      <c r="AM109" s="2236"/>
      <c r="AN109" s="2227"/>
      <c r="AO109" s="2236"/>
      <c r="AP109" s="2232"/>
      <c r="AQ109" s="2236"/>
      <c r="AR109" s="2232"/>
      <c r="AS109" s="2234"/>
      <c r="AT109" s="2232"/>
      <c r="AU109" s="2234"/>
      <c r="AV109" s="2232"/>
      <c r="AW109" s="2232"/>
      <c r="AX109" s="2232"/>
      <c r="AY109" s="2237"/>
      <c r="AZ109" s="2232"/>
      <c r="BA109" s="2232">
        <f t="shared" si="9"/>
        <v>1380</v>
      </c>
    </row>
    <row r="110" spans="1:53">
      <c r="A110" s="2193"/>
      <c r="B110" s="2169"/>
      <c r="C110" s="2189"/>
      <c r="D110" s="2190"/>
      <c r="E110" s="2191"/>
      <c r="F110" s="2190"/>
      <c r="G110" s="2190"/>
      <c r="H110" s="2192"/>
      <c r="I110" s="2193"/>
      <c r="J110" s="2193"/>
      <c r="K110" s="2194"/>
      <c r="L110" s="2194"/>
      <c r="M110" s="2195"/>
      <c r="N110" s="2195"/>
      <c r="O110" s="2196"/>
      <c r="P110" s="2195"/>
      <c r="Q110" s="2195"/>
      <c r="R110" s="2195"/>
      <c r="S110" s="2195"/>
      <c r="T110" s="2197"/>
      <c r="U110" s="2197"/>
      <c r="V110" s="2197"/>
      <c r="W110" s="2195"/>
      <c r="X110" s="2198"/>
      <c r="Y110" s="2199"/>
      <c r="Z110" s="2199"/>
      <c r="AA110" s="2194"/>
      <c r="AB110" s="2198"/>
      <c r="AC110" s="2190"/>
      <c r="AD110" s="2191"/>
      <c r="AE110" s="2190"/>
      <c r="AF110" s="2190"/>
      <c r="AG110" s="2199"/>
      <c r="AH110" s="2200"/>
      <c r="AI110" s="2199"/>
      <c r="AJ110" s="2201"/>
      <c r="AK110" s="2196"/>
      <c r="AL110" s="2202"/>
      <c r="AM110" s="2203"/>
      <c r="AN110" s="2194"/>
      <c r="AO110" s="2203"/>
      <c r="AP110" s="2199"/>
      <c r="AQ110" s="2203"/>
      <c r="AR110" s="2199"/>
      <c r="AS110" s="2201"/>
      <c r="AT110" s="2199"/>
      <c r="AU110" s="2201"/>
      <c r="AV110" s="2199"/>
      <c r="AW110" s="2199"/>
      <c r="AX110" s="2199"/>
      <c r="AY110" s="2204"/>
      <c r="AZ110" s="2199"/>
      <c r="BA110" s="2199"/>
    </row>
    <row r="111" spans="1:53" ht="22.5">
      <c r="A111" s="1246" t="s">
        <v>182</v>
      </c>
      <c r="B111" s="1247"/>
      <c r="C111" s="1248"/>
      <c r="D111" s="1248"/>
      <c r="E111" s="1248"/>
      <c r="F111" s="1248"/>
      <c r="G111" s="1248"/>
      <c r="H111" s="1249"/>
      <c r="I111" s="1249"/>
      <c r="J111" s="1249"/>
      <c r="K111" s="1249"/>
      <c r="L111" s="1249"/>
      <c r="M111" s="1249"/>
      <c r="N111" s="1249"/>
      <c r="O111" s="1249"/>
      <c r="P111" s="1249"/>
      <c r="Q111" s="1249"/>
      <c r="R111" s="1249"/>
      <c r="S111" s="1249"/>
      <c r="T111" s="1249"/>
      <c r="U111" s="1249"/>
      <c r="V111" s="1249"/>
      <c r="W111" s="101"/>
      <c r="X111" s="1249"/>
      <c r="Y111" s="1249"/>
      <c r="Z111" s="1249"/>
      <c r="AA111" s="1249"/>
      <c r="AB111" s="1249"/>
      <c r="AC111" s="1248"/>
      <c r="AD111" s="1248"/>
      <c r="AE111" s="1248"/>
      <c r="AF111" s="1248"/>
      <c r="AG111" s="1249"/>
      <c r="AH111" s="1249"/>
      <c r="AI111" s="1249"/>
      <c r="AJ111" s="1249"/>
      <c r="AK111" s="1249"/>
      <c r="AM111" s="1249"/>
      <c r="AN111" s="1249"/>
      <c r="AO111" s="1249"/>
      <c r="AP111" s="1249"/>
      <c r="AQ111" s="1249"/>
      <c r="AR111" s="1249"/>
      <c r="AS111" s="1249"/>
      <c r="AT111" s="1249"/>
      <c r="AU111" s="1249"/>
      <c r="AV111" s="1249"/>
      <c r="AW111" s="1249"/>
      <c r="AX111" s="1249"/>
      <c r="AY111" s="1249"/>
      <c r="AZ111" s="1249"/>
      <c r="BA111" s="1249"/>
    </row>
    <row r="112" spans="1:53" ht="18.75">
      <c r="A112" s="1250" t="str">
        <f>Ts!H4&amp;Ts!K4</f>
        <v>CÔNG TRÌNH: NHÀ 01 TẦNG, TƯỜNG CHỊU LỰC 110MM, MÁI LỢP FIBRÔXIMĂNG, KHÔNG CÓ KHU VỆ SINH KHÉP KÍN</v>
      </c>
      <c r="B112" s="1247"/>
      <c r="C112" s="1251"/>
      <c r="D112" s="1251"/>
      <c r="E112" s="1251"/>
      <c r="F112" s="1251"/>
      <c r="G112" s="1251"/>
      <c r="H112" s="1127"/>
      <c r="I112" s="1127"/>
      <c r="J112" s="1127"/>
      <c r="K112" s="1127"/>
      <c r="L112" s="1127"/>
      <c r="M112" s="1127"/>
      <c r="N112" s="1127"/>
      <c r="O112" s="1127"/>
      <c r="P112" s="1127"/>
      <c r="Q112" s="1127"/>
      <c r="R112" s="1127"/>
      <c r="S112" s="1127"/>
      <c r="T112" s="1127"/>
      <c r="U112" s="1127"/>
      <c r="V112" s="1127"/>
      <c r="W112" s="6"/>
      <c r="X112" s="1127"/>
      <c r="Y112" s="1127"/>
      <c r="Z112" s="1127"/>
      <c r="AA112" s="1127"/>
      <c r="AB112" s="1127"/>
      <c r="AC112" s="1251"/>
      <c r="AD112" s="1251"/>
      <c r="AE112" s="1251"/>
      <c r="AF112" s="1251"/>
      <c r="AG112" s="1127"/>
      <c r="AH112" s="1127"/>
      <c r="AI112" s="1127"/>
      <c r="AJ112" s="1127"/>
      <c r="AK112" s="1127"/>
      <c r="AL112" s="1253"/>
      <c r="AM112" s="1127"/>
      <c r="AN112" s="1127"/>
      <c r="AO112" s="1249"/>
      <c r="AP112" s="1249"/>
      <c r="AQ112" s="1249"/>
      <c r="AR112" s="1249"/>
      <c r="AS112" s="1249"/>
      <c r="AT112" s="1249"/>
      <c r="AU112" s="1249"/>
      <c r="AV112" s="1249"/>
      <c r="AW112" s="1249"/>
      <c r="AX112" s="1249"/>
      <c r="AY112" s="1249"/>
      <c r="AZ112" s="1249"/>
      <c r="BA112" s="1249"/>
    </row>
    <row r="113" spans="1:53" ht="18.75">
      <c r="A113" s="1250" t="s">
        <v>2075</v>
      </c>
      <c r="B113" s="1247"/>
      <c r="C113" s="1251"/>
      <c r="D113" s="1251"/>
      <c r="E113" s="1251"/>
      <c r="F113" s="1251"/>
      <c r="G113" s="1251"/>
      <c r="H113" s="1127"/>
      <c r="I113" s="1127"/>
      <c r="J113" s="1127"/>
      <c r="K113" s="1127"/>
      <c r="L113" s="1127"/>
      <c r="M113" s="1127"/>
      <c r="N113" s="1127"/>
      <c r="O113" s="1127"/>
      <c r="P113" s="1127"/>
      <c r="Q113" s="1127"/>
      <c r="R113" s="1127"/>
      <c r="S113" s="1127"/>
      <c r="T113" s="1127"/>
      <c r="U113" s="1127"/>
      <c r="V113" s="1127"/>
      <c r="W113" s="6"/>
      <c r="X113" s="1127"/>
      <c r="Y113" s="1127"/>
      <c r="Z113" s="1127"/>
      <c r="AA113" s="1127"/>
      <c r="AB113" s="1127"/>
      <c r="AC113" s="1251"/>
      <c r="AD113" s="1251"/>
      <c r="AE113" s="1251"/>
      <c r="AF113" s="1251"/>
      <c r="AG113" s="1127"/>
      <c r="AH113" s="1127"/>
      <c r="AI113" s="1127"/>
      <c r="AJ113" s="1127"/>
      <c r="AK113" s="1127"/>
      <c r="AL113" s="1253"/>
      <c r="AM113" s="1127"/>
      <c r="AN113" s="1127"/>
      <c r="AO113" s="1249"/>
      <c r="AP113" s="1249"/>
      <c r="AQ113" s="1249"/>
      <c r="AR113" s="1249"/>
      <c r="AS113" s="1249"/>
      <c r="AT113" s="1249"/>
      <c r="AU113" s="1249"/>
      <c r="AV113" s="1249"/>
      <c r="AW113" s="1249"/>
      <c r="AX113" s="1249"/>
      <c r="AY113" s="1249"/>
      <c r="AZ113" s="1249"/>
      <c r="BA113" s="1249"/>
    </row>
    <row r="114" spans="1:53" hidden="1">
      <c r="A114" s="649"/>
      <c r="B114" s="1228"/>
      <c r="C114" s="1241"/>
      <c r="D114" s="1359" t="s">
        <v>897</v>
      </c>
      <c r="E114" s="1359"/>
      <c r="F114" s="1359"/>
      <c r="G114" s="1359"/>
      <c r="H114" s="1359"/>
      <c r="I114" s="1359"/>
      <c r="J114" s="1359"/>
      <c r="K114" s="1359"/>
      <c r="L114" s="1359"/>
      <c r="M114" s="1359"/>
      <c r="N114" s="1359"/>
      <c r="O114" s="1359"/>
      <c r="P114" s="1359"/>
      <c r="Q114" s="1359"/>
      <c r="R114" s="1359"/>
      <c r="S114" s="1359"/>
      <c r="T114" s="1359"/>
      <c r="U114" s="1359"/>
      <c r="V114" s="1359"/>
      <c r="W114" s="1359"/>
      <c r="X114" s="1359"/>
      <c r="Y114" s="1359"/>
      <c r="Z114" s="1359"/>
      <c r="AA114" s="1359"/>
      <c r="AB114" s="1360" t="s">
        <v>898</v>
      </c>
      <c r="AC114" s="1361"/>
      <c r="AD114" s="1361"/>
      <c r="AE114" s="1361"/>
      <c r="AF114" s="1361"/>
      <c r="AG114" s="1361"/>
      <c r="AH114" s="1361"/>
      <c r="AI114" s="1361"/>
      <c r="AJ114" s="1361"/>
      <c r="AK114" s="1361"/>
      <c r="AL114" s="1361"/>
      <c r="AM114" s="1361"/>
      <c r="AN114" s="1361"/>
      <c r="AO114" s="1361"/>
      <c r="AP114" s="1361"/>
      <c r="AQ114" s="1361"/>
      <c r="AR114" s="1361"/>
      <c r="AS114" s="1361"/>
      <c r="AT114" s="1361"/>
      <c r="AU114" s="1362"/>
      <c r="AV114" s="1361"/>
      <c r="AW114" s="1361"/>
      <c r="AX114" s="1363"/>
      <c r="AY114" s="1234"/>
      <c r="AZ114" s="1243"/>
      <c r="BA114" s="1243"/>
    </row>
    <row r="115" spans="1:53">
      <c r="A115" s="2542" t="s">
        <v>196</v>
      </c>
      <c r="B115" s="2542" t="s">
        <v>135</v>
      </c>
      <c r="C115" s="2542" t="s">
        <v>141</v>
      </c>
      <c r="D115" s="2542" t="s">
        <v>1166</v>
      </c>
      <c r="E115" s="2554" t="s">
        <v>142</v>
      </c>
      <c r="F115" s="2562" t="s">
        <v>1167</v>
      </c>
      <c r="G115" s="2562" t="s">
        <v>928</v>
      </c>
      <c r="H115" s="2576" t="s">
        <v>1169</v>
      </c>
      <c r="I115" s="2562" t="s">
        <v>867</v>
      </c>
      <c r="J115" s="2562" t="s">
        <v>20</v>
      </c>
      <c r="K115" s="2552" t="s">
        <v>1007</v>
      </c>
      <c r="L115" s="2562" t="s">
        <v>868</v>
      </c>
      <c r="M115" s="2562" t="s">
        <v>143</v>
      </c>
      <c r="N115" s="2562" t="s">
        <v>144</v>
      </c>
      <c r="O115" s="2560" t="s">
        <v>869</v>
      </c>
      <c r="P115" s="2573" t="s">
        <v>870</v>
      </c>
      <c r="Q115" s="2574"/>
      <c r="R115" s="2574"/>
      <c r="S115" s="2575"/>
      <c r="T115" s="2570" t="s">
        <v>871</v>
      </c>
      <c r="U115" s="2571"/>
      <c r="V115" s="2571"/>
      <c r="W115" s="2572"/>
      <c r="X115" s="2562" t="s">
        <v>900</v>
      </c>
      <c r="Y115" s="2552" t="s">
        <v>872</v>
      </c>
      <c r="Z115" s="2562" t="s">
        <v>873</v>
      </c>
      <c r="AA115" s="2562" t="s">
        <v>622</v>
      </c>
      <c r="AB115" s="2566" t="s">
        <v>1170</v>
      </c>
      <c r="AC115" s="2562" t="s">
        <v>1166</v>
      </c>
      <c r="AD115" s="2554" t="s">
        <v>142</v>
      </c>
      <c r="AE115" s="2562" t="s">
        <v>1168</v>
      </c>
      <c r="AF115" s="2562" t="s">
        <v>928</v>
      </c>
      <c r="AG115" s="2562" t="s">
        <v>874</v>
      </c>
      <c r="AH115" s="2562" t="s">
        <v>875</v>
      </c>
      <c r="AI115" s="2562" t="s">
        <v>876</v>
      </c>
      <c r="AJ115" s="2560" t="s">
        <v>877</v>
      </c>
      <c r="AK115" s="2560" t="s">
        <v>878</v>
      </c>
      <c r="AL115" s="2564" t="s">
        <v>879</v>
      </c>
      <c r="AM115" s="2554" t="s">
        <v>880</v>
      </c>
      <c r="AN115" s="2552" t="s">
        <v>881</v>
      </c>
      <c r="AO115" s="2554" t="s">
        <v>882</v>
      </c>
      <c r="AP115" s="2552" t="s">
        <v>883</v>
      </c>
      <c r="AQ115" s="2554" t="s">
        <v>884</v>
      </c>
      <c r="AR115" s="2552" t="s">
        <v>885</v>
      </c>
      <c r="AS115" s="2560" t="s">
        <v>886</v>
      </c>
      <c r="AT115" s="2552" t="s">
        <v>887</v>
      </c>
      <c r="AU115" s="2560" t="s">
        <v>888</v>
      </c>
      <c r="AV115" s="2552" t="s">
        <v>889</v>
      </c>
      <c r="AW115" s="2552" t="s">
        <v>890</v>
      </c>
      <c r="AX115" s="2552" t="s">
        <v>891</v>
      </c>
      <c r="AY115" s="2556" t="s">
        <v>899</v>
      </c>
      <c r="AZ115" s="2552" t="s">
        <v>892</v>
      </c>
      <c r="BA115" s="2558" t="s">
        <v>682</v>
      </c>
    </row>
    <row r="116" spans="1:53" ht="47.25">
      <c r="A116" s="2568"/>
      <c r="B116" s="2568"/>
      <c r="C116" s="2568"/>
      <c r="D116" s="2568"/>
      <c r="E116" s="2569"/>
      <c r="F116" s="2579"/>
      <c r="G116" s="2579"/>
      <c r="H116" s="2581"/>
      <c r="I116" s="2579"/>
      <c r="J116" s="2579"/>
      <c r="K116" s="2578"/>
      <c r="L116" s="2579"/>
      <c r="M116" s="2579"/>
      <c r="N116" s="2579"/>
      <c r="O116" s="2580"/>
      <c r="P116" s="1358" t="s">
        <v>893</v>
      </c>
      <c r="Q116" s="1358" t="s">
        <v>894</v>
      </c>
      <c r="R116" s="1358" t="s">
        <v>929</v>
      </c>
      <c r="S116" s="1358" t="s">
        <v>1005</v>
      </c>
      <c r="T116" s="1357" t="s">
        <v>895</v>
      </c>
      <c r="U116" s="1357" t="s">
        <v>896</v>
      </c>
      <c r="V116" s="1357" t="s">
        <v>930</v>
      </c>
      <c r="W116" s="1358" t="s">
        <v>1006</v>
      </c>
      <c r="X116" s="2579"/>
      <c r="Y116" s="2578"/>
      <c r="Z116" s="2579"/>
      <c r="AA116" s="2579"/>
      <c r="AB116" s="2582"/>
      <c r="AC116" s="2579"/>
      <c r="AD116" s="2569"/>
      <c r="AE116" s="2579"/>
      <c r="AF116" s="2579"/>
      <c r="AG116" s="2579"/>
      <c r="AH116" s="2579"/>
      <c r="AI116" s="2579"/>
      <c r="AJ116" s="2580"/>
      <c r="AK116" s="2580"/>
      <c r="AL116" s="2583"/>
      <c r="AM116" s="2569"/>
      <c r="AN116" s="2578"/>
      <c r="AO116" s="2569"/>
      <c r="AP116" s="2578"/>
      <c r="AQ116" s="2569"/>
      <c r="AR116" s="2578"/>
      <c r="AS116" s="2580"/>
      <c r="AT116" s="2578"/>
      <c r="AU116" s="2580"/>
      <c r="AV116" s="2578"/>
      <c r="AW116" s="2578"/>
      <c r="AX116" s="2578"/>
      <c r="AY116" s="2585"/>
      <c r="AZ116" s="2578"/>
      <c r="BA116" s="2584"/>
    </row>
    <row r="117" spans="1:53" ht="31.5">
      <c r="A117" s="2210">
        <v>1</v>
      </c>
      <c r="B117" s="2205" t="s">
        <v>2004</v>
      </c>
      <c r="C117" s="2206" t="s">
        <v>2005</v>
      </c>
      <c r="D117" s="2207" t="s">
        <v>1955</v>
      </c>
      <c r="E117" s="2208">
        <v>0</v>
      </c>
      <c r="F117" s="2207"/>
      <c r="G117" s="2207"/>
      <c r="H117" s="2209"/>
      <c r="I117" s="2210"/>
      <c r="J117" s="2210"/>
      <c r="K117" s="2211">
        <v>26180</v>
      </c>
      <c r="L117" s="2211"/>
      <c r="M117" s="2212"/>
      <c r="N117" s="2212"/>
      <c r="O117" s="2213"/>
      <c r="P117" s="2212"/>
      <c r="Q117" s="2212"/>
      <c r="R117" s="2212"/>
      <c r="S117" s="2212"/>
      <c r="T117" s="2214"/>
      <c r="U117" s="2214"/>
      <c r="V117" s="2214"/>
      <c r="W117" s="2212"/>
      <c r="X117" s="2215"/>
      <c r="Y117" s="2216"/>
      <c r="Z117" s="2216"/>
      <c r="AA117" s="2211">
        <f t="shared" ref="AA117:AA131" si="10">Z117</f>
        <v>0</v>
      </c>
      <c r="AB117" s="2215"/>
      <c r="AC117" s="2207" t="s">
        <v>1955</v>
      </c>
      <c r="AD117" s="2208">
        <v>0</v>
      </c>
      <c r="AE117" s="2207"/>
      <c r="AF117" s="2207"/>
      <c r="AG117" s="2216"/>
      <c r="AH117" s="2217"/>
      <c r="AI117" s="2216"/>
      <c r="AJ117" s="2218"/>
      <c r="AK117" s="2213"/>
      <c r="AL117" s="2219"/>
      <c r="AM117" s="2220"/>
      <c r="AN117" s="2211"/>
      <c r="AO117" s="2220"/>
      <c r="AP117" s="2216"/>
      <c r="AQ117" s="2220"/>
      <c r="AR117" s="2216"/>
      <c r="AS117" s="2218"/>
      <c r="AT117" s="2216"/>
      <c r="AU117" s="2218"/>
      <c r="AV117" s="2216"/>
      <c r="AW117" s="2216"/>
      <c r="AX117" s="2216"/>
      <c r="AY117" s="2221"/>
      <c r="AZ117" s="2216"/>
      <c r="BA117" s="2216">
        <f t="shared" ref="BA117:BA131" si="11">K117+AA117+AW117+AX117+AZ117</f>
        <v>26180</v>
      </c>
    </row>
    <row r="118" spans="1:53" ht="31.5">
      <c r="A118" s="2226">
        <v>2</v>
      </c>
      <c r="B118" s="2168" t="s">
        <v>2002</v>
      </c>
      <c r="C118" s="2222" t="s">
        <v>2003</v>
      </c>
      <c r="D118" s="2223" t="s">
        <v>1955</v>
      </c>
      <c r="E118" s="2224">
        <v>0</v>
      </c>
      <c r="F118" s="2223"/>
      <c r="G118" s="2223"/>
      <c r="H118" s="2225"/>
      <c r="I118" s="2226"/>
      <c r="J118" s="2226"/>
      <c r="K118" s="2227">
        <v>34425</v>
      </c>
      <c r="L118" s="2227"/>
      <c r="M118" s="2228"/>
      <c r="N118" s="2228"/>
      <c r="O118" s="2229"/>
      <c r="P118" s="2228"/>
      <c r="Q118" s="2228"/>
      <c r="R118" s="2228"/>
      <c r="S118" s="2228"/>
      <c r="T118" s="2230"/>
      <c r="U118" s="2230"/>
      <c r="V118" s="2230"/>
      <c r="W118" s="2228"/>
      <c r="X118" s="2231"/>
      <c r="Y118" s="2232"/>
      <c r="Z118" s="2232"/>
      <c r="AA118" s="2227">
        <f t="shared" si="10"/>
        <v>0</v>
      </c>
      <c r="AB118" s="2231"/>
      <c r="AC118" s="2223" t="s">
        <v>1955</v>
      </c>
      <c r="AD118" s="2224">
        <v>0</v>
      </c>
      <c r="AE118" s="2223"/>
      <c r="AF118" s="2223"/>
      <c r="AG118" s="2232"/>
      <c r="AH118" s="2233"/>
      <c r="AI118" s="2232"/>
      <c r="AJ118" s="2234"/>
      <c r="AK118" s="2229"/>
      <c r="AL118" s="2235"/>
      <c r="AM118" s="2236"/>
      <c r="AN118" s="2227"/>
      <c r="AO118" s="2236"/>
      <c r="AP118" s="2232"/>
      <c r="AQ118" s="2236"/>
      <c r="AR118" s="2232"/>
      <c r="AS118" s="2234"/>
      <c r="AT118" s="2232"/>
      <c r="AU118" s="2234"/>
      <c r="AV118" s="2232"/>
      <c r="AW118" s="2232"/>
      <c r="AX118" s="2232"/>
      <c r="AY118" s="2237"/>
      <c r="AZ118" s="2232"/>
      <c r="BA118" s="2232">
        <f t="shared" si="11"/>
        <v>34425</v>
      </c>
    </row>
    <row r="119" spans="1:53" ht="31.5">
      <c r="A119" s="2226">
        <v>3</v>
      </c>
      <c r="B119" s="2168" t="s">
        <v>2000</v>
      </c>
      <c r="C119" s="2222" t="s">
        <v>2001</v>
      </c>
      <c r="D119" s="2223" t="s">
        <v>1955</v>
      </c>
      <c r="E119" s="2224">
        <v>0</v>
      </c>
      <c r="F119" s="2223"/>
      <c r="G119" s="2223"/>
      <c r="H119" s="2225"/>
      <c r="I119" s="2226"/>
      <c r="J119" s="2226"/>
      <c r="K119" s="2227">
        <v>296000</v>
      </c>
      <c r="L119" s="2227"/>
      <c r="M119" s="2228"/>
      <c r="N119" s="2228"/>
      <c r="O119" s="2229"/>
      <c r="P119" s="2228"/>
      <c r="Q119" s="2228"/>
      <c r="R119" s="2228"/>
      <c r="S119" s="2228"/>
      <c r="T119" s="2230"/>
      <c r="U119" s="2230"/>
      <c r="V119" s="2230"/>
      <c r="W119" s="2228"/>
      <c r="X119" s="2231"/>
      <c r="Y119" s="2232"/>
      <c r="Z119" s="2232"/>
      <c r="AA119" s="2227">
        <f t="shared" si="10"/>
        <v>0</v>
      </c>
      <c r="AB119" s="2231"/>
      <c r="AC119" s="2223" t="s">
        <v>1955</v>
      </c>
      <c r="AD119" s="2224">
        <v>0</v>
      </c>
      <c r="AE119" s="2223"/>
      <c r="AF119" s="2223"/>
      <c r="AG119" s="2232"/>
      <c r="AH119" s="2233"/>
      <c r="AI119" s="2232"/>
      <c r="AJ119" s="2234"/>
      <c r="AK119" s="2229"/>
      <c r="AL119" s="2235"/>
      <c r="AM119" s="2236"/>
      <c r="AN119" s="2227"/>
      <c r="AO119" s="2236"/>
      <c r="AP119" s="2232"/>
      <c r="AQ119" s="2236"/>
      <c r="AR119" s="2232"/>
      <c r="AS119" s="2234"/>
      <c r="AT119" s="2232"/>
      <c r="AU119" s="2234"/>
      <c r="AV119" s="2232"/>
      <c r="AW119" s="2232"/>
      <c r="AX119" s="2232"/>
      <c r="AY119" s="2237"/>
      <c r="AZ119" s="2232"/>
      <c r="BA119" s="2232">
        <f t="shared" si="11"/>
        <v>296000</v>
      </c>
    </row>
    <row r="120" spans="1:53">
      <c r="A120" s="2226">
        <v>4</v>
      </c>
      <c r="B120" s="2168" t="s">
        <v>2011</v>
      </c>
      <c r="C120" s="2222" t="s">
        <v>2012</v>
      </c>
      <c r="D120" s="2223" t="s">
        <v>2006</v>
      </c>
      <c r="E120" s="2224">
        <v>0</v>
      </c>
      <c r="F120" s="2223"/>
      <c r="G120" s="2223"/>
      <c r="H120" s="2225"/>
      <c r="I120" s="2226"/>
      <c r="J120" s="2226"/>
      <c r="K120" s="2227">
        <v>5000</v>
      </c>
      <c r="L120" s="2227"/>
      <c r="M120" s="2228"/>
      <c r="N120" s="2228"/>
      <c r="O120" s="2229"/>
      <c r="P120" s="2228"/>
      <c r="Q120" s="2228"/>
      <c r="R120" s="2228"/>
      <c r="S120" s="2228"/>
      <c r="T120" s="2230"/>
      <c r="U120" s="2230"/>
      <c r="V120" s="2230"/>
      <c r="W120" s="2228"/>
      <c r="X120" s="2231"/>
      <c r="Y120" s="2232"/>
      <c r="Z120" s="2232"/>
      <c r="AA120" s="2227">
        <f t="shared" si="10"/>
        <v>0</v>
      </c>
      <c r="AB120" s="2231"/>
      <c r="AC120" s="2223" t="s">
        <v>2006</v>
      </c>
      <c r="AD120" s="2224">
        <v>0</v>
      </c>
      <c r="AE120" s="2223"/>
      <c r="AF120" s="2223"/>
      <c r="AG120" s="2232"/>
      <c r="AH120" s="2233"/>
      <c r="AI120" s="2232"/>
      <c r="AJ120" s="2234"/>
      <c r="AK120" s="2229"/>
      <c r="AL120" s="2235"/>
      <c r="AM120" s="2236"/>
      <c r="AN120" s="2227"/>
      <c r="AO120" s="2236"/>
      <c r="AP120" s="2232"/>
      <c r="AQ120" s="2236"/>
      <c r="AR120" s="2232"/>
      <c r="AS120" s="2234"/>
      <c r="AT120" s="2232"/>
      <c r="AU120" s="2234"/>
      <c r="AV120" s="2232"/>
      <c r="AW120" s="2232"/>
      <c r="AX120" s="2232"/>
      <c r="AY120" s="2237"/>
      <c r="AZ120" s="2232"/>
      <c r="BA120" s="2232">
        <f t="shared" si="11"/>
        <v>5000</v>
      </c>
    </row>
    <row r="121" spans="1:53">
      <c r="A121" s="2226">
        <v>5</v>
      </c>
      <c r="B121" s="2168" t="s">
        <v>2013</v>
      </c>
      <c r="C121" s="2222" t="s">
        <v>2014</v>
      </c>
      <c r="D121" s="2223" t="s">
        <v>1955</v>
      </c>
      <c r="E121" s="2224">
        <v>0</v>
      </c>
      <c r="F121" s="2223"/>
      <c r="G121" s="2223"/>
      <c r="H121" s="2225"/>
      <c r="I121" s="2226"/>
      <c r="J121" s="2226"/>
      <c r="K121" s="2227">
        <v>35500</v>
      </c>
      <c r="L121" s="2227"/>
      <c r="M121" s="2228"/>
      <c r="N121" s="2228"/>
      <c r="O121" s="2229"/>
      <c r="P121" s="2228"/>
      <c r="Q121" s="2228"/>
      <c r="R121" s="2228"/>
      <c r="S121" s="2228"/>
      <c r="T121" s="2230"/>
      <c r="U121" s="2230"/>
      <c r="V121" s="2230"/>
      <c r="W121" s="2228"/>
      <c r="X121" s="2231"/>
      <c r="Y121" s="2232"/>
      <c r="Z121" s="2232"/>
      <c r="AA121" s="2227">
        <f t="shared" si="10"/>
        <v>0</v>
      </c>
      <c r="AB121" s="2231"/>
      <c r="AC121" s="2223" t="s">
        <v>1955</v>
      </c>
      <c r="AD121" s="2224">
        <v>0</v>
      </c>
      <c r="AE121" s="2223"/>
      <c r="AF121" s="2223"/>
      <c r="AG121" s="2232"/>
      <c r="AH121" s="2233"/>
      <c r="AI121" s="2232"/>
      <c r="AJ121" s="2234"/>
      <c r="AK121" s="2229"/>
      <c r="AL121" s="2235"/>
      <c r="AM121" s="2236"/>
      <c r="AN121" s="2227"/>
      <c r="AO121" s="2236"/>
      <c r="AP121" s="2232"/>
      <c r="AQ121" s="2236"/>
      <c r="AR121" s="2232"/>
      <c r="AS121" s="2234"/>
      <c r="AT121" s="2232"/>
      <c r="AU121" s="2234"/>
      <c r="AV121" s="2232"/>
      <c r="AW121" s="2232"/>
      <c r="AX121" s="2232"/>
      <c r="AY121" s="2237"/>
      <c r="AZ121" s="2232"/>
      <c r="BA121" s="2232">
        <f t="shared" si="11"/>
        <v>35500</v>
      </c>
    </row>
    <row r="122" spans="1:53">
      <c r="A122" s="2226">
        <v>6</v>
      </c>
      <c r="B122" s="2168" t="s">
        <v>2015</v>
      </c>
      <c r="C122" s="2222" t="s">
        <v>2016</v>
      </c>
      <c r="D122" s="2223" t="s">
        <v>1955</v>
      </c>
      <c r="E122" s="2224">
        <v>0</v>
      </c>
      <c r="F122" s="2223"/>
      <c r="G122" s="2223"/>
      <c r="H122" s="2225"/>
      <c r="I122" s="2226"/>
      <c r="J122" s="2226"/>
      <c r="K122" s="2227">
        <v>45000</v>
      </c>
      <c r="L122" s="2227"/>
      <c r="M122" s="2228"/>
      <c r="N122" s="2228"/>
      <c r="O122" s="2229"/>
      <c r="P122" s="2228"/>
      <c r="Q122" s="2228"/>
      <c r="R122" s="2228"/>
      <c r="S122" s="2228"/>
      <c r="T122" s="2230"/>
      <c r="U122" s="2230"/>
      <c r="V122" s="2230"/>
      <c r="W122" s="2228"/>
      <c r="X122" s="2231"/>
      <c r="Y122" s="2232"/>
      <c r="Z122" s="2232"/>
      <c r="AA122" s="2227">
        <f t="shared" si="10"/>
        <v>0</v>
      </c>
      <c r="AB122" s="2231"/>
      <c r="AC122" s="2223" t="s">
        <v>1955</v>
      </c>
      <c r="AD122" s="2224">
        <v>0</v>
      </c>
      <c r="AE122" s="2223"/>
      <c r="AF122" s="2223"/>
      <c r="AG122" s="2232"/>
      <c r="AH122" s="2233"/>
      <c r="AI122" s="2232"/>
      <c r="AJ122" s="2234"/>
      <c r="AK122" s="2229"/>
      <c r="AL122" s="2235"/>
      <c r="AM122" s="2236"/>
      <c r="AN122" s="2227"/>
      <c r="AO122" s="2236"/>
      <c r="AP122" s="2232"/>
      <c r="AQ122" s="2236"/>
      <c r="AR122" s="2232"/>
      <c r="AS122" s="2234"/>
      <c r="AT122" s="2232"/>
      <c r="AU122" s="2234"/>
      <c r="AV122" s="2232"/>
      <c r="AW122" s="2232"/>
      <c r="AX122" s="2232"/>
      <c r="AY122" s="2237"/>
      <c r="AZ122" s="2232"/>
      <c r="BA122" s="2232">
        <f t="shared" si="11"/>
        <v>45000</v>
      </c>
    </row>
    <row r="123" spans="1:53">
      <c r="A123" s="2226">
        <v>7</v>
      </c>
      <c r="B123" s="2168" t="s">
        <v>2017</v>
      </c>
      <c r="C123" s="2222" t="s">
        <v>2018</v>
      </c>
      <c r="D123" s="2223" t="s">
        <v>1955</v>
      </c>
      <c r="E123" s="2224">
        <v>0</v>
      </c>
      <c r="F123" s="2223"/>
      <c r="G123" s="2223"/>
      <c r="H123" s="2225"/>
      <c r="I123" s="2226"/>
      <c r="J123" s="2226"/>
      <c r="K123" s="2227">
        <v>64000</v>
      </c>
      <c r="L123" s="2227"/>
      <c r="M123" s="2228"/>
      <c r="N123" s="2228"/>
      <c r="O123" s="2229"/>
      <c r="P123" s="2228"/>
      <c r="Q123" s="2228"/>
      <c r="R123" s="2228"/>
      <c r="S123" s="2228"/>
      <c r="T123" s="2230"/>
      <c r="U123" s="2230"/>
      <c r="V123" s="2230"/>
      <c r="W123" s="2228"/>
      <c r="X123" s="2231"/>
      <c r="Y123" s="2232"/>
      <c r="Z123" s="2232"/>
      <c r="AA123" s="2227">
        <f t="shared" si="10"/>
        <v>0</v>
      </c>
      <c r="AB123" s="2231"/>
      <c r="AC123" s="2223" t="s">
        <v>1955</v>
      </c>
      <c r="AD123" s="2224">
        <v>0</v>
      </c>
      <c r="AE123" s="2223"/>
      <c r="AF123" s="2223"/>
      <c r="AG123" s="2232"/>
      <c r="AH123" s="2233"/>
      <c r="AI123" s="2232"/>
      <c r="AJ123" s="2234"/>
      <c r="AK123" s="2229"/>
      <c r="AL123" s="2235"/>
      <c r="AM123" s="2236"/>
      <c r="AN123" s="2227"/>
      <c r="AO123" s="2236"/>
      <c r="AP123" s="2232"/>
      <c r="AQ123" s="2236"/>
      <c r="AR123" s="2232"/>
      <c r="AS123" s="2234"/>
      <c r="AT123" s="2232"/>
      <c r="AU123" s="2234"/>
      <c r="AV123" s="2232"/>
      <c r="AW123" s="2232"/>
      <c r="AX123" s="2232"/>
      <c r="AY123" s="2237"/>
      <c r="AZ123" s="2232"/>
      <c r="BA123" s="2232">
        <f t="shared" si="11"/>
        <v>64000</v>
      </c>
    </row>
    <row r="124" spans="1:53">
      <c r="A124" s="2226">
        <v>8</v>
      </c>
      <c r="B124" s="2168" t="s">
        <v>2009</v>
      </c>
      <c r="C124" s="2222" t="s">
        <v>2010</v>
      </c>
      <c r="D124" s="2223" t="s">
        <v>2006</v>
      </c>
      <c r="E124" s="2224">
        <v>0</v>
      </c>
      <c r="F124" s="2223"/>
      <c r="G124" s="2223"/>
      <c r="H124" s="2225"/>
      <c r="I124" s="2226"/>
      <c r="J124" s="2226"/>
      <c r="K124" s="2227">
        <v>120000</v>
      </c>
      <c r="L124" s="2227"/>
      <c r="M124" s="2228"/>
      <c r="N124" s="2228"/>
      <c r="O124" s="2229"/>
      <c r="P124" s="2228"/>
      <c r="Q124" s="2228"/>
      <c r="R124" s="2228"/>
      <c r="S124" s="2228"/>
      <c r="T124" s="2230"/>
      <c r="U124" s="2230"/>
      <c r="V124" s="2230"/>
      <c r="W124" s="2228"/>
      <c r="X124" s="2231"/>
      <c r="Y124" s="2232"/>
      <c r="Z124" s="2232"/>
      <c r="AA124" s="2227">
        <f t="shared" si="10"/>
        <v>0</v>
      </c>
      <c r="AB124" s="2231"/>
      <c r="AC124" s="2223" t="s">
        <v>2006</v>
      </c>
      <c r="AD124" s="2224">
        <v>0</v>
      </c>
      <c r="AE124" s="2223"/>
      <c r="AF124" s="2223"/>
      <c r="AG124" s="2232"/>
      <c r="AH124" s="2233"/>
      <c r="AI124" s="2232"/>
      <c r="AJ124" s="2234"/>
      <c r="AK124" s="2229"/>
      <c r="AL124" s="2235"/>
      <c r="AM124" s="2236"/>
      <c r="AN124" s="2227"/>
      <c r="AO124" s="2236"/>
      <c r="AP124" s="2232"/>
      <c r="AQ124" s="2236"/>
      <c r="AR124" s="2232"/>
      <c r="AS124" s="2234"/>
      <c r="AT124" s="2232"/>
      <c r="AU124" s="2234"/>
      <c r="AV124" s="2232"/>
      <c r="AW124" s="2232"/>
      <c r="AX124" s="2232"/>
      <c r="AY124" s="2237"/>
      <c r="AZ124" s="2232"/>
      <c r="BA124" s="2232">
        <f t="shared" si="11"/>
        <v>120000</v>
      </c>
    </row>
    <row r="125" spans="1:53" ht="31.5">
      <c r="A125" s="2226">
        <v>9</v>
      </c>
      <c r="B125" s="2168" t="s">
        <v>2022</v>
      </c>
      <c r="C125" s="2222" t="s">
        <v>2023</v>
      </c>
      <c r="D125" s="2223" t="s">
        <v>2021</v>
      </c>
      <c r="E125" s="2224">
        <v>0</v>
      </c>
      <c r="F125" s="2223"/>
      <c r="G125" s="2223"/>
      <c r="H125" s="2225"/>
      <c r="I125" s="2226"/>
      <c r="J125" s="2226"/>
      <c r="K125" s="2227">
        <v>19190</v>
      </c>
      <c r="L125" s="2227"/>
      <c r="M125" s="2228"/>
      <c r="N125" s="2228"/>
      <c r="O125" s="2229"/>
      <c r="P125" s="2228"/>
      <c r="Q125" s="2228"/>
      <c r="R125" s="2228"/>
      <c r="S125" s="2228"/>
      <c r="T125" s="2230"/>
      <c r="U125" s="2230"/>
      <c r="V125" s="2230"/>
      <c r="W125" s="2228"/>
      <c r="X125" s="2231"/>
      <c r="Y125" s="2232"/>
      <c r="Z125" s="2232"/>
      <c r="AA125" s="2227">
        <f t="shared" si="10"/>
        <v>0</v>
      </c>
      <c r="AB125" s="2231"/>
      <c r="AC125" s="2223" t="s">
        <v>2021</v>
      </c>
      <c r="AD125" s="2224">
        <v>0</v>
      </c>
      <c r="AE125" s="2223"/>
      <c r="AF125" s="2223"/>
      <c r="AG125" s="2232"/>
      <c r="AH125" s="2233"/>
      <c r="AI125" s="2232"/>
      <c r="AJ125" s="2234"/>
      <c r="AK125" s="2229"/>
      <c r="AL125" s="2235"/>
      <c r="AM125" s="2236"/>
      <c r="AN125" s="2227"/>
      <c r="AO125" s="2236"/>
      <c r="AP125" s="2232"/>
      <c r="AQ125" s="2236"/>
      <c r="AR125" s="2232"/>
      <c r="AS125" s="2234"/>
      <c r="AT125" s="2232"/>
      <c r="AU125" s="2234"/>
      <c r="AV125" s="2232"/>
      <c r="AW125" s="2232"/>
      <c r="AX125" s="2232"/>
      <c r="AY125" s="2237"/>
      <c r="AZ125" s="2232"/>
      <c r="BA125" s="2232">
        <f t="shared" si="11"/>
        <v>19190</v>
      </c>
    </row>
    <row r="126" spans="1:53" ht="31.5">
      <c r="A126" s="2226">
        <v>10</v>
      </c>
      <c r="B126" s="2168" t="s">
        <v>2026</v>
      </c>
      <c r="C126" s="2222" t="s">
        <v>2027</v>
      </c>
      <c r="D126" s="2223" t="s">
        <v>2021</v>
      </c>
      <c r="E126" s="2224">
        <v>0</v>
      </c>
      <c r="F126" s="2223"/>
      <c r="G126" s="2223"/>
      <c r="H126" s="2225"/>
      <c r="I126" s="2226"/>
      <c r="J126" s="2226"/>
      <c r="K126" s="2227">
        <v>8027</v>
      </c>
      <c r="L126" s="2227"/>
      <c r="M126" s="2228"/>
      <c r="N126" s="2228"/>
      <c r="O126" s="2229"/>
      <c r="P126" s="2228"/>
      <c r="Q126" s="2228"/>
      <c r="R126" s="2228"/>
      <c r="S126" s="2228"/>
      <c r="T126" s="2230"/>
      <c r="U126" s="2230"/>
      <c r="V126" s="2230"/>
      <c r="W126" s="2228"/>
      <c r="X126" s="2231"/>
      <c r="Y126" s="2232"/>
      <c r="Z126" s="2232"/>
      <c r="AA126" s="2227">
        <f t="shared" si="10"/>
        <v>0</v>
      </c>
      <c r="AB126" s="2231"/>
      <c r="AC126" s="2223" t="s">
        <v>2021</v>
      </c>
      <c r="AD126" s="2224">
        <v>0</v>
      </c>
      <c r="AE126" s="2223"/>
      <c r="AF126" s="2223"/>
      <c r="AG126" s="2232"/>
      <c r="AH126" s="2233"/>
      <c r="AI126" s="2232"/>
      <c r="AJ126" s="2234"/>
      <c r="AK126" s="2229"/>
      <c r="AL126" s="2235"/>
      <c r="AM126" s="2236"/>
      <c r="AN126" s="2227"/>
      <c r="AO126" s="2236"/>
      <c r="AP126" s="2232"/>
      <c r="AQ126" s="2236"/>
      <c r="AR126" s="2232"/>
      <c r="AS126" s="2234"/>
      <c r="AT126" s="2232"/>
      <c r="AU126" s="2234"/>
      <c r="AV126" s="2232"/>
      <c r="AW126" s="2232"/>
      <c r="AX126" s="2232"/>
      <c r="AY126" s="2237"/>
      <c r="AZ126" s="2232"/>
      <c r="BA126" s="2232">
        <f t="shared" si="11"/>
        <v>8027</v>
      </c>
    </row>
    <row r="127" spans="1:53" ht="31.5">
      <c r="A127" s="2226">
        <v>11</v>
      </c>
      <c r="B127" s="2168" t="s">
        <v>2024</v>
      </c>
      <c r="C127" s="2222" t="s">
        <v>2025</v>
      </c>
      <c r="D127" s="2223" t="s">
        <v>2021</v>
      </c>
      <c r="E127" s="2224">
        <v>0</v>
      </c>
      <c r="F127" s="2223"/>
      <c r="G127" s="2223"/>
      <c r="H127" s="2225"/>
      <c r="I127" s="2226"/>
      <c r="J127" s="2226"/>
      <c r="K127" s="2227">
        <v>18273</v>
      </c>
      <c r="L127" s="2227"/>
      <c r="M127" s="2228"/>
      <c r="N127" s="2228"/>
      <c r="O127" s="2229"/>
      <c r="P127" s="2228"/>
      <c r="Q127" s="2228"/>
      <c r="R127" s="2228"/>
      <c r="S127" s="2228"/>
      <c r="T127" s="2230"/>
      <c r="U127" s="2230"/>
      <c r="V127" s="2230"/>
      <c r="W127" s="2228"/>
      <c r="X127" s="2231"/>
      <c r="Y127" s="2232"/>
      <c r="Z127" s="2232"/>
      <c r="AA127" s="2227">
        <f t="shared" si="10"/>
        <v>0</v>
      </c>
      <c r="AB127" s="2231"/>
      <c r="AC127" s="2223" t="s">
        <v>2021</v>
      </c>
      <c r="AD127" s="2224">
        <v>0</v>
      </c>
      <c r="AE127" s="2223"/>
      <c r="AF127" s="2223"/>
      <c r="AG127" s="2232"/>
      <c r="AH127" s="2233"/>
      <c r="AI127" s="2232"/>
      <c r="AJ127" s="2234"/>
      <c r="AK127" s="2229"/>
      <c r="AL127" s="2235"/>
      <c r="AM127" s="2236"/>
      <c r="AN127" s="2227"/>
      <c r="AO127" s="2236"/>
      <c r="AP127" s="2232"/>
      <c r="AQ127" s="2236"/>
      <c r="AR127" s="2232"/>
      <c r="AS127" s="2234"/>
      <c r="AT127" s="2232"/>
      <c r="AU127" s="2234"/>
      <c r="AV127" s="2232"/>
      <c r="AW127" s="2232"/>
      <c r="AX127" s="2232"/>
      <c r="AY127" s="2237"/>
      <c r="AZ127" s="2232"/>
      <c r="BA127" s="2232">
        <f t="shared" si="11"/>
        <v>18273</v>
      </c>
    </row>
    <row r="128" spans="1:53" ht="63">
      <c r="A128" s="2226">
        <v>12</v>
      </c>
      <c r="B128" s="2168" t="s">
        <v>1996</v>
      </c>
      <c r="C128" s="2222" t="s">
        <v>1997</v>
      </c>
      <c r="D128" s="2223" t="s">
        <v>1955</v>
      </c>
      <c r="E128" s="2224">
        <v>0</v>
      </c>
      <c r="F128" s="2223"/>
      <c r="G128" s="2223"/>
      <c r="H128" s="2225"/>
      <c r="I128" s="2226"/>
      <c r="J128" s="2226"/>
      <c r="K128" s="2227">
        <v>9000</v>
      </c>
      <c r="L128" s="2227"/>
      <c r="M128" s="2228"/>
      <c r="N128" s="2228"/>
      <c r="O128" s="2229"/>
      <c r="P128" s="2228"/>
      <c r="Q128" s="2228"/>
      <c r="R128" s="2228"/>
      <c r="S128" s="2228"/>
      <c r="T128" s="2230"/>
      <c r="U128" s="2230"/>
      <c r="V128" s="2230"/>
      <c r="W128" s="2228"/>
      <c r="X128" s="2231"/>
      <c r="Y128" s="2232"/>
      <c r="Z128" s="2232"/>
      <c r="AA128" s="2227">
        <f t="shared" si="10"/>
        <v>0</v>
      </c>
      <c r="AB128" s="2231"/>
      <c r="AC128" s="2223" t="s">
        <v>1955</v>
      </c>
      <c r="AD128" s="2224">
        <v>0</v>
      </c>
      <c r="AE128" s="2223"/>
      <c r="AF128" s="2223"/>
      <c r="AG128" s="2232"/>
      <c r="AH128" s="2233"/>
      <c r="AI128" s="2232"/>
      <c r="AJ128" s="2234"/>
      <c r="AK128" s="2229"/>
      <c r="AL128" s="2235"/>
      <c r="AM128" s="2236"/>
      <c r="AN128" s="2227"/>
      <c r="AO128" s="2236"/>
      <c r="AP128" s="2232"/>
      <c r="AQ128" s="2236"/>
      <c r="AR128" s="2232"/>
      <c r="AS128" s="2234"/>
      <c r="AT128" s="2232"/>
      <c r="AU128" s="2234"/>
      <c r="AV128" s="2232"/>
      <c r="AW128" s="2232"/>
      <c r="AX128" s="2232"/>
      <c r="AY128" s="2237"/>
      <c r="AZ128" s="2232"/>
      <c r="BA128" s="2232">
        <f t="shared" si="11"/>
        <v>9000</v>
      </c>
    </row>
    <row r="129" spans="1:53" ht="31.5">
      <c r="A129" s="2226">
        <v>13</v>
      </c>
      <c r="B129" s="2168" t="s">
        <v>2007</v>
      </c>
      <c r="C129" s="2222" t="s">
        <v>2008</v>
      </c>
      <c r="D129" s="2223" t="s">
        <v>2006</v>
      </c>
      <c r="E129" s="2224">
        <v>0</v>
      </c>
      <c r="F129" s="2223"/>
      <c r="G129" s="2223"/>
      <c r="H129" s="2225"/>
      <c r="I129" s="2226"/>
      <c r="J129" s="2226"/>
      <c r="K129" s="2227">
        <v>85091</v>
      </c>
      <c r="L129" s="2227"/>
      <c r="M129" s="2228"/>
      <c r="N129" s="2228"/>
      <c r="O129" s="2229"/>
      <c r="P129" s="2228"/>
      <c r="Q129" s="2228"/>
      <c r="R129" s="2228"/>
      <c r="S129" s="2228"/>
      <c r="T129" s="2230"/>
      <c r="U129" s="2230"/>
      <c r="V129" s="2230"/>
      <c r="W129" s="2228"/>
      <c r="X129" s="2231"/>
      <c r="Y129" s="2232"/>
      <c r="Z129" s="2232"/>
      <c r="AA129" s="2227">
        <f t="shared" si="10"/>
        <v>0</v>
      </c>
      <c r="AB129" s="2231"/>
      <c r="AC129" s="2223" t="s">
        <v>2006</v>
      </c>
      <c r="AD129" s="2224">
        <v>0</v>
      </c>
      <c r="AE129" s="2223"/>
      <c r="AF129" s="2223"/>
      <c r="AG129" s="2232"/>
      <c r="AH129" s="2233"/>
      <c r="AI129" s="2232"/>
      <c r="AJ129" s="2234"/>
      <c r="AK129" s="2229"/>
      <c r="AL129" s="2235"/>
      <c r="AM129" s="2236"/>
      <c r="AN129" s="2227"/>
      <c r="AO129" s="2236"/>
      <c r="AP129" s="2232"/>
      <c r="AQ129" s="2236"/>
      <c r="AR129" s="2232"/>
      <c r="AS129" s="2234"/>
      <c r="AT129" s="2232"/>
      <c r="AU129" s="2234"/>
      <c r="AV129" s="2232"/>
      <c r="AW129" s="2232"/>
      <c r="AX129" s="2232"/>
      <c r="AY129" s="2237"/>
      <c r="AZ129" s="2232"/>
      <c r="BA129" s="2232">
        <f t="shared" si="11"/>
        <v>85091</v>
      </c>
    </row>
    <row r="130" spans="1:53">
      <c r="A130" s="2226">
        <v>14</v>
      </c>
      <c r="B130" s="2168" t="s">
        <v>2019</v>
      </c>
      <c r="C130" s="2222" t="s">
        <v>2020</v>
      </c>
      <c r="D130" s="2223" t="s">
        <v>1955</v>
      </c>
      <c r="E130" s="2224">
        <v>0</v>
      </c>
      <c r="F130" s="2223"/>
      <c r="G130" s="2223"/>
      <c r="H130" s="2225"/>
      <c r="I130" s="2226"/>
      <c r="J130" s="2226"/>
      <c r="K130" s="2227">
        <v>49000</v>
      </c>
      <c r="L130" s="2227"/>
      <c r="M130" s="2228"/>
      <c r="N130" s="2228"/>
      <c r="O130" s="2229"/>
      <c r="P130" s="2228"/>
      <c r="Q130" s="2228"/>
      <c r="R130" s="2228"/>
      <c r="S130" s="2228"/>
      <c r="T130" s="2230"/>
      <c r="U130" s="2230"/>
      <c r="V130" s="2230"/>
      <c r="W130" s="2228"/>
      <c r="X130" s="2231"/>
      <c r="Y130" s="2232"/>
      <c r="Z130" s="2232"/>
      <c r="AA130" s="2227">
        <f t="shared" si="10"/>
        <v>0</v>
      </c>
      <c r="AB130" s="2231"/>
      <c r="AC130" s="2223" t="s">
        <v>1955</v>
      </c>
      <c r="AD130" s="2224">
        <v>0</v>
      </c>
      <c r="AE130" s="2223"/>
      <c r="AF130" s="2223"/>
      <c r="AG130" s="2232"/>
      <c r="AH130" s="2233"/>
      <c r="AI130" s="2232"/>
      <c r="AJ130" s="2234"/>
      <c r="AK130" s="2229"/>
      <c r="AL130" s="2235"/>
      <c r="AM130" s="2236"/>
      <c r="AN130" s="2227"/>
      <c r="AO130" s="2236"/>
      <c r="AP130" s="2232"/>
      <c r="AQ130" s="2236"/>
      <c r="AR130" s="2232"/>
      <c r="AS130" s="2234"/>
      <c r="AT130" s="2232"/>
      <c r="AU130" s="2234"/>
      <c r="AV130" s="2232"/>
      <c r="AW130" s="2232"/>
      <c r="AX130" s="2232"/>
      <c r="AY130" s="2237"/>
      <c r="AZ130" s="2232"/>
      <c r="BA130" s="2232">
        <f t="shared" si="11"/>
        <v>49000</v>
      </c>
    </row>
    <row r="131" spans="1:53" ht="31.5">
      <c r="A131" s="2226">
        <v>15</v>
      </c>
      <c r="B131" s="2168" t="s">
        <v>2028</v>
      </c>
      <c r="C131" s="2222" t="s">
        <v>2029</v>
      </c>
      <c r="D131" s="2223" t="s">
        <v>2021</v>
      </c>
      <c r="E131" s="2224">
        <v>0</v>
      </c>
      <c r="F131" s="2223"/>
      <c r="G131" s="2223"/>
      <c r="H131" s="2225"/>
      <c r="I131" s="2226"/>
      <c r="J131" s="2226"/>
      <c r="K131" s="2227">
        <v>8091</v>
      </c>
      <c r="L131" s="2227"/>
      <c r="M131" s="2228"/>
      <c r="N131" s="2228"/>
      <c r="O131" s="2229"/>
      <c r="P131" s="2228"/>
      <c r="Q131" s="2228"/>
      <c r="R131" s="2228"/>
      <c r="S131" s="2228"/>
      <c r="T131" s="2230"/>
      <c r="U131" s="2230"/>
      <c r="V131" s="2230"/>
      <c r="W131" s="2228"/>
      <c r="X131" s="2231"/>
      <c r="Y131" s="2232"/>
      <c r="Z131" s="2232"/>
      <c r="AA131" s="2227">
        <f t="shared" si="10"/>
        <v>0</v>
      </c>
      <c r="AB131" s="2231"/>
      <c r="AC131" s="2223" t="s">
        <v>2021</v>
      </c>
      <c r="AD131" s="2224">
        <v>0</v>
      </c>
      <c r="AE131" s="2223"/>
      <c r="AF131" s="2223"/>
      <c r="AG131" s="2232"/>
      <c r="AH131" s="2233"/>
      <c r="AI131" s="2232"/>
      <c r="AJ131" s="2234"/>
      <c r="AK131" s="2229"/>
      <c r="AL131" s="2235"/>
      <c r="AM131" s="2236"/>
      <c r="AN131" s="2227"/>
      <c r="AO131" s="2236"/>
      <c r="AP131" s="2232"/>
      <c r="AQ131" s="2236"/>
      <c r="AR131" s="2232"/>
      <c r="AS131" s="2234"/>
      <c r="AT131" s="2232"/>
      <c r="AU131" s="2234"/>
      <c r="AV131" s="2232"/>
      <c r="AW131" s="2232"/>
      <c r="AX131" s="2232"/>
      <c r="AY131" s="2237"/>
      <c r="AZ131" s="2232"/>
      <c r="BA131" s="2232">
        <f t="shared" si="11"/>
        <v>8091</v>
      </c>
    </row>
    <row r="132" spans="1:53">
      <c r="A132" s="2193"/>
      <c r="B132" s="2169"/>
      <c r="C132" s="2189"/>
      <c r="D132" s="2190"/>
      <c r="E132" s="2191"/>
      <c r="F132" s="2190"/>
      <c r="G132" s="2190"/>
      <c r="H132" s="2192"/>
      <c r="I132" s="2193"/>
      <c r="J132" s="2193"/>
      <c r="K132" s="2194"/>
      <c r="L132" s="2194"/>
      <c r="M132" s="2195"/>
      <c r="N132" s="2195"/>
      <c r="O132" s="2196"/>
      <c r="P132" s="2195"/>
      <c r="Q132" s="2195"/>
      <c r="R132" s="2195"/>
      <c r="S132" s="2195"/>
      <c r="T132" s="2197"/>
      <c r="U132" s="2197"/>
      <c r="V132" s="2197"/>
      <c r="W132" s="2195"/>
      <c r="X132" s="2198"/>
      <c r="Y132" s="2199"/>
      <c r="Z132" s="2199"/>
      <c r="AA132" s="2194"/>
      <c r="AB132" s="2198"/>
      <c r="AC132" s="2190"/>
      <c r="AD132" s="2191"/>
      <c r="AE132" s="2190"/>
      <c r="AF132" s="2190"/>
      <c r="AG132" s="2199"/>
      <c r="AH132" s="2200"/>
      <c r="AI132" s="2199"/>
      <c r="AJ132" s="2201"/>
      <c r="AK132" s="2196"/>
      <c r="AL132" s="2202"/>
      <c r="AM132" s="2203"/>
      <c r="AN132" s="2194"/>
      <c r="AO132" s="2203"/>
      <c r="AP132" s="2199"/>
      <c r="AQ132" s="2203"/>
      <c r="AR132" s="2199"/>
      <c r="AS132" s="2201"/>
      <c r="AT132" s="2199"/>
      <c r="AU132" s="2201"/>
      <c r="AV132" s="2199"/>
      <c r="AW132" s="2199"/>
      <c r="AX132" s="2199"/>
      <c r="AY132" s="2204"/>
      <c r="AZ132" s="2199"/>
      <c r="BA132" s="2199"/>
    </row>
  </sheetData>
  <mergeCells count="376">
    <mergeCell ref="AX115:AX116"/>
    <mergeCell ref="AY115:AY116"/>
    <mergeCell ref="AZ115:AZ116"/>
    <mergeCell ref="BA115:BA116"/>
    <mergeCell ref="AS115:AS116"/>
    <mergeCell ref="AT115:AT116"/>
    <mergeCell ref="AU115:AU116"/>
    <mergeCell ref="AV115:AV116"/>
    <mergeCell ref="AW115:AW116"/>
    <mergeCell ref="AN115:AN116"/>
    <mergeCell ref="AO115:AO116"/>
    <mergeCell ref="AP115:AP116"/>
    <mergeCell ref="AQ115:AQ116"/>
    <mergeCell ref="AR115:AR116"/>
    <mergeCell ref="AI115:AI116"/>
    <mergeCell ref="AJ115:AJ116"/>
    <mergeCell ref="AK115:AK116"/>
    <mergeCell ref="AL115:AL116"/>
    <mergeCell ref="AM115:AM116"/>
    <mergeCell ref="AD115:AD116"/>
    <mergeCell ref="AE115:AE116"/>
    <mergeCell ref="AF115:AF116"/>
    <mergeCell ref="AG115:AG116"/>
    <mergeCell ref="AH115:AH116"/>
    <mergeCell ref="Y115:Y116"/>
    <mergeCell ref="Z115:Z116"/>
    <mergeCell ref="AA115:AA116"/>
    <mergeCell ref="AB115:AB116"/>
    <mergeCell ref="AC115:AC116"/>
    <mergeCell ref="N115:N116"/>
    <mergeCell ref="O115:O116"/>
    <mergeCell ref="P115:S115"/>
    <mergeCell ref="T115:W115"/>
    <mergeCell ref="X115:X116"/>
    <mergeCell ref="AY101:AY102"/>
    <mergeCell ref="AZ101:AZ102"/>
    <mergeCell ref="BA101:BA102"/>
    <mergeCell ref="A115:A116"/>
    <mergeCell ref="B115:B116"/>
    <mergeCell ref="C115:C116"/>
    <mergeCell ref="D115:D116"/>
    <mergeCell ref="E115:E116"/>
    <mergeCell ref="F115:F116"/>
    <mergeCell ref="G115:G116"/>
    <mergeCell ref="H115:H116"/>
    <mergeCell ref="I115:I116"/>
    <mergeCell ref="J115:J116"/>
    <mergeCell ref="K115:K116"/>
    <mergeCell ref="L115:L116"/>
    <mergeCell ref="M115:M116"/>
    <mergeCell ref="AT101:AT102"/>
    <mergeCell ref="AU101:AU102"/>
    <mergeCell ref="AV101:AV102"/>
    <mergeCell ref="AW101:AW102"/>
    <mergeCell ref="AX101:AX102"/>
    <mergeCell ref="AO101:AO102"/>
    <mergeCell ref="AP101:AP102"/>
    <mergeCell ref="AQ101:AQ102"/>
    <mergeCell ref="AR101:AR102"/>
    <mergeCell ref="AS101:AS102"/>
    <mergeCell ref="AJ101:AJ102"/>
    <mergeCell ref="AK101:AK102"/>
    <mergeCell ref="AL101:AL102"/>
    <mergeCell ref="AM101:AM102"/>
    <mergeCell ref="AN101:AN102"/>
    <mergeCell ref="AE101:AE102"/>
    <mergeCell ref="AF101:AF102"/>
    <mergeCell ref="AG101:AG102"/>
    <mergeCell ref="AH101:AH102"/>
    <mergeCell ref="AI101:AI102"/>
    <mergeCell ref="Z101:Z102"/>
    <mergeCell ref="AA101:AA102"/>
    <mergeCell ref="AB101:AB102"/>
    <mergeCell ref="AC101:AC102"/>
    <mergeCell ref="AD101:AD102"/>
    <mergeCell ref="O101:O102"/>
    <mergeCell ref="P101:S101"/>
    <mergeCell ref="T101:W101"/>
    <mergeCell ref="X101:X102"/>
    <mergeCell ref="Y101:Y102"/>
    <mergeCell ref="AZ82:AZ83"/>
    <mergeCell ref="BA82:BA83"/>
    <mergeCell ref="A101:A102"/>
    <mergeCell ref="B101:B102"/>
    <mergeCell ref="C101:C102"/>
    <mergeCell ref="D101:D102"/>
    <mergeCell ref="E101:E102"/>
    <mergeCell ref="F101:F102"/>
    <mergeCell ref="G101:G102"/>
    <mergeCell ref="H101:H102"/>
    <mergeCell ref="I101:I102"/>
    <mergeCell ref="J101:J102"/>
    <mergeCell ref="K101:K102"/>
    <mergeCell ref="L101:L102"/>
    <mergeCell ref="M101:M102"/>
    <mergeCell ref="N101:N102"/>
    <mergeCell ref="AU82:AU83"/>
    <mergeCell ref="AV82:AV83"/>
    <mergeCell ref="AW82:AW83"/>
    <mergeCell ref="AX82:AX83"/>
    <mergeCell ref="AY82:AY83"/>
    <mergeCell ref="AP82:AP83"/>
    <mergeCell ref="AQ82:AQ83"/>
    <mergeCell ref="AR82:AR83"/>
    <mergeCell ref="AS82:AS83"/>
    <mergeCell ref="AT82:AT83"/>
    <mergeCell ref="AK82:AK83"/>
    <mergeCell ref="AL82:AL83"/>
    <mergeCell ref="AM82:AM83"/>
    <mergeCell ref="AN82:AN83"/>
    <mergeCell ref="AO82:AO83"/>
    <mergeCell ref="AF82:AF83"/>
    <mergeCell ref="AG82:AG83"/>
    <mergeCell ref="AH82:AH83"/>
    <mergeCell ref="AI82:AI83"/>
    <mergeCell ref="AJ82:AJ83"/>
    <mergeCell ref="AA82:AA83"/>
    <mergeCell ref="AB82:AB83"/>
    <mergeCell ref="AC82:AC83"/>
    <mergeCell ref="AD82:AD83"/>
    <mergeCell ref="AE82:AE83"/>
    <mergeCell ref="P82:S82"/>
    <mergeCell ref="T82:W82"/>
    <mergeCell ref="X82:X83"/>
    <mergeCell ref="Y82:Y83"/>
    <mergeCell ref="Z82:Z83"/>
    <mergeCell ref="K82:K83"/>
    <mergeCell ref="L82:L83"/>
    <mergeCell ref="M82:M83"/>
    <mergeCell ref="N82:N83"/>
    <mergeCell ref="O82:O83"/>
    <mergeCell ref="F82:F83"/>
    <mergeCell ref="G82:G83"/>
    <mergeCell ref="H82:H83"/>
    <mergeCell ref="I82:I83"/>
    <mergeCell ref="J82:J83"/>
    <mergeCell ref="A82:A83"/>
    <mergeCell ref="B82:B83"/>
    <mergeCell ref="C82:C83"/>
    <mergeCell ref="D82:D83"/>
    <mergeCell ref="E82:E83"/>
    <mergeCell ref="AW68:AW69"/>
    <mergeCell ref="AX68:AX69"/>
    <mergeCell ref="AY68:AY69"/>
    <mergeCell ref="AZ68:AZ69"/>
    <mergeCell ref="BA68:BA69"/>
    <mergeCell ref="AR68:AR69"/>
    <mergeCell ref="AS68:AS69"/>
    <mergeCell ref="AT68:AT69"/>
    <mergeCell ref="AU68:AU69"/>
    <mergeCell ref="AV68:AV69"/>
    <mergeCell ref="Y68:Y69"/>
    <mergeCell ref="Z68:Z69"/>
    <mergeCell ref="AA68:AA69"/>
    <mergeCell ref="AB68:AB69"/>
    <mergeCell ref="AM68:AM69"/>
    <mergeCell ref="AN68:AN69"/>
    <mergeCell ref="AO68:AO69"/>
    <mergeCell ref="AP68:AP69"/>
    <mergeCell ref="AQ68:AQ69"/>
    <mergeCell ref="AH68:AH69"/>
    <mergeCell ref="AI68:AI69"/>
    <mergeCell ref="AJ68:AJ69"/>
    <mergeCell ref="AK68:AK69"/>
    <mergeCell ref="AL68:AL69"/>
    <mergeCell ref="M68:M69"/>
    <mergeCell ref="N68:N69"/>
    <mergeCell ref="O68:O69"/>
    <mergeCell ref="P68:S68"/>
    <mergeCell ref="T68:W68"/>
    <mergeCell ref="AX57:AX58"/>
    <mergeCell ref="AY57:AY58"/>
    <mergeCell ref="AZ57:AZ58"/>
    <mergeCell ref="BA57:BA58"/>
    <mergeCell ref="Z57:Z58"/>
    <mergeCell ref="AA57:AA58"/>
    <mergeCell ref="AB57:AB58"/>
    <mergeCell ref="AC57:AC58"/>
    <mergeCell ref="N57:N58"/>
    <mergeCell ref="O57:O58"/>
    <mergeCell ref="P57:S57"/>
    <mergeCell ref="T57:W57"/>
    <mergeCell ref="X57:X58"/>
    <mergeCell ref="AC68:AC69"/>
    <mergeCell ref="AD68:AD69"/>
    <mergeCell ref="AE68:AE69"/>
    <mergeCell ref="AF68:AF69"/>
    <mergeCell ref="AG68:AG69"/>
    <mergeCell ref="X68:X69"/>
    <mergeCell ref="A68:A69"/>
    <mergeCell ref="B68:B69"/>
    <mergeCell ref="C68:C69"/>
    <mergeCell ref="D68:D69"/>
    <mergeCell ref="E68:E69"/>
    <mergeCell ref="F68:F69"/>
    <mergeCell ref="G68:G69"/>
    <mergeCell ref="H68:H69"/>
    <mergeCell ref="I68:I69"/>
    <mergeCell ref="J68:J69"/>
    <mergeCell ref="K68:K69"/>
    <mergeCell ref="L68:L69"/>
    <mergeCell ref="AS57:AS58"/>
    <mergeCell ref="AT57:AT58"/>
    <mergeCell ref="AU57:AU58"/>
    <mergeCell ref="AV57:AV58"/>
    <mergeCell ref="AW57:AW58"/>
    <mergeCell ref="AN57:AN58"/>
    <mergeCell ref="AO57:AO58"/>
    <mergeCell ref="AP57:AP58"/>
    <mergeCell ref="AQ57:AQ58"/>
    <mergeCell ref="AR57:AR58"/>
    <mergeCell ref="AI57:AI58"/>
    <mergeCell ref="AJ57:AJ58"/>
    <mergeCell ref="AK57:AK58"/>
    <mergeCell ref="AL57:AL58"/>
    <mergeCell ref="AM57:AM58"/>
    <mergeCell ref="AD57:AD58"/>
    <mergeCell ref="AE57:AE58"/>
    <mergeCell ref="AF57:AF58"/>
    <mergeCell ref="AG57:AG58"/>
    <mergeCell ref="AH57:AH58"/>
    <mergeCell ref="Y57:Y58"/>
    <mergeCell ref="AY37:AY38"/>
    <mergeCell ref="AZ37:AZ38"/>
    <mergeCell ref="BA37:BA38"/>
    <mergeCell ref="A57:A58"/>
    <mergeCell ref="B57:B58"/>
    <mergeCell ref="C57:C58"/>
    <mergeCell ref="D57:D58"/>
    <mergeCell ref="E57:E58"/>
    <mergeCell ref="F57:F58"/>
    <mergeCell ref="G57:G58"/>
    <mergeCell ref="H57:H58"/>
    <mergeCell ref="I57:I58"/>
    <mergeCell ref="J57:J58"/>
    <mergeCell ref="K57:K58"/>
    <mergeCell ref="L57:L58"/>
    <mergeCell ref="M57:M58"/>
    <mergeCell ref="AT37:AT38"/>
    <mergeCell ref="AU37:AU38"/>
    <mergeCell ref="AV37:AV38"/>
    <mergeCell ref="AW37:AW38"/>
    <mergeCell ref="AX37:AX38"/>
    <mergeCell ref="AO37:AO38"/>
    <mergeCell ref="AP37:AP38"/>
    <mergeCell ref="AQ37:AQ38"/>
    <mergeCell ref="AR37:AR38"/>
    <mergeCell ref="AS37:AS38"/>
    <mergeCell ref="AJ37:AJ38"/>
    <mergeCell ref="AK37:AK38"/>
    <mergeCell ref="AL37:AL38"/>
    <mergeCell ref="AM37:AM38"/>
    <mergeCell ref="AN37:AN38"/>
    <mergeCell ref="AE37:AE38"/>
    <mergeCell ref="AF37:AF38"/>
    <mergeCell ref="AG37:AG38"/>
    <mergeCell ref="AH37:AH38"/>
    <mergeCell ref="AI37:AI38"/>
    <mergeCell ref="Z37:Z38"/>
    <mergeCell ref="AA37:AA38"/>
    <mergeCell ref="AB37:AB38"/>
    <mergeCell ref="AC37:AC38"/>
    <mergeCell ref="AD37:AD38"/>
    <mergeCell ref="O37:O38"/>
    <mergeCell ref="P37:S37"/>
    <mergeCell ref="T37:W37"/>
    <mergeCell ref="X37:X38"/>
    <mergeCell ref="Y37:Y38"/>
    <mergeCell ref="AZ14:AZ15"/>
    <mergeCell ref="BA14:BA15"/>
    <mergeCell ref="A37:A38"/>
    <mergeCell ref="B37:B38"/>
    <mergeCell ref="C37:C38"/>
    <mergeCell ref="D37:D38"/>
    <mergeCell ref="E37:E38"/>
    <mergeCell ref="F37:F38"/>
    <mergeCell ref="G37:G38"/>
    <mergeCell ref="H37:H38"/>
    <mergeCell ref="I37:I38"/>
    <mergeCell ref="J37:J38"/>
    <mergeCell ref="K37:K38"/>
    <mergeCell ref="L37:L38"/>
    <mergeCell ref="M37:M38"/>
    <mergeCell ref="N37:N38"/>
    <mergeCell ref="AU14:AU15"/>
    <mergeCell ref="AV14:AV15"/>
    <mergeCell ref="AW14:AW15"/>
    <mergeCell ref="AX14:AX15"/>
    <mergeCell ref="AY14:AY15"/>
    <mergeCell ref="AP14:AP15"/>
    <mergeCell ref="AQ14:AQ15"/>
    <mergeCell ref="AR14:AR15"/>
    <mergeCell ref="AS14:AS15"/>
    <mergeCell ref="AT14:AT15"/>
    <mergeCell ref="AK14:AK15"/>
    <mergeCell ref="AL14:AL15"/>
    <mergeCell ref="AM14:AM15"/>
    <mergeCell ref="AN14:AN15"/>
    <mergeCell ref="AO14:AO15"/>
    <mergeCell ref="AF14:AF15"/>
    <mergeCell ref="AG14:AG15"/>
    <mergeCell ref="AH14:AH15"/>
    <mergeCell ref="AI14:AI15"/>
    <mergeCell ref="AJ14:AJ15"/>
    <mergeCell ref="AA14:AA15"/>
    <mergeCell ref="AB14:AB15"/>
    <mergeCell ref="AC14:AC15"/>
    <mergeCell ref="AD14:AD15"/>
    <mergeCell ref="AE14:AE15"/>
    <mergeCell ref="P14:S14"/>
    <mergeCell ref="T14:W14"/>
    <mergeCell ref="X14:X15"/>
    <mergeCell ref="Y14:Y15"/>
    <mergeCell ref="Z14:Z15"/>
    <mergeCell ref="K14:K15"/>
    <mergeCell ref="L14:L15"/>
    <mergeCell ref="M14:M15"/>
    <mergeCell ref="N14:N15"/>
    <mergeCell ref="O14:O15"/>
    <mergeCell ref="F14:F15"/>
    <mergeCell ref="G14:G15"/>
    <mergeCell ref="H14:H15"/>
    <mergeCell ref="I14:I15"/>
    <mergeCell ref="J14:J15"/>
    <mergeCell ref="A14:A15"/>
    <mergeCell ref="B14:B15"/>
    <mergeCell ref="C14:C15"/>
    <mergeCell ref="D14:D15"/>
    <mergeCell ref="E14:E15"/>
    <mergeCell ref="T5:W5"/>
    <mergeCell ref="Y5:Y6"/>
    <mergeCell ref="Z5:Z6"/>
    <mergeCell ref="X5:X6"/>
    <mergeCell ref="I5:I6"/>
    <mergeCell ref="K5:K6"/>
    <mergeCell ref="L5:L6"/>
    <mergeCell ref="M5:M6"/>
    <mergeCell ref="N5:N6"/>
    <mergeCell ref="J5:J6"/>
    <mergeCell ref="O5:O6"/>
    <mergeCell ref="P5:S5"/>
    <mergeCell ref="A5:A6"/>
    <mergeCell ref="B5:B6"/>
    <mergeCell ref="C5:C6"/>
    <mergeCell ref="D5:D6"/>
    <mergeCell ref="H5:H6"/>
    <mergeCell ref="E5:E6"/>
    <mergeCell ref="F5:F6"/>
    <mergeCell ref="G5:G6"/>
    <mergeCell ref="AJ5:AJ6"/>
    <mergeCell ref="AK5:AK6"/>
    <mergeCell ref="AL5:AL6"/>
    <mergeCell ref="AM5:AM6"/>
    <mergeCell ref="AA5:AA6"/>
    <mergeCell ref="AB5:AB6"/>
    <mergeCell ref="AG5:AG6"/>
    <mergeCell ref="AH5:AH6"/>
    <mergeCell ref="AI5:AI6"/>
    <mergeCell ref="AE5:AE6"/>
    <mergeCell ref="AF5:AF6"/>
    <mergeCell ref="AC5:AC6"/>
    <mergeCell ref="AD5:AD6"/>
    <mergeCell ref="AN5:AN6"/>
    <mergeCell ref="AO5:AO6"/>
    <mergeCell ref="AP5:AP6"/>
    <mergeCell ref="AQ5:AQ6"/>
    <mergeCell ref="AR5:AR6"/>
    <mergeCell ref="AY5:AY6"/>
    <mergeCell ref="AZ5:AZ6"/>
    <mergeCell ref="BA5:BA6"/>
    <mergeCell ref="AS5:AS6"/>
    <mergeCell ref="AT5:AT6"/>
    <mergeCell ref="AU5:AU6"/>
    <mergeCell ref="AV5:AV6"/>
    <mergeCell ref="AW5:AW6"/>
    <mergeCell ref="AX5:AX6"/>
  </mergeCells>
  <phoneticPr fontId="60" type="noConversion"/>
  <dataValidations count="1">
    <dataValidation allowBlank="1" showInputMessage="1" showErrorMessage="1" prompt="Cần đổi Đơn vị tính theo Định mức vận chuyển phù hợp Đơn vị tính của vật liệu trong định mức công việc cho cùng thứ nguyên." sqref="F5:F6 F14:F15 F37:F38 F57:F58 F68:F69 F82:F83 F101:F102 F115:F116"/>
  </dataValidations>
  <hyperlinks>
    <hyperlink ref="A2" location="'TH&amp;CLVT XD'!A1" tooltip="Về bảng TH và chênh lệch vật tư" display="'TH&amp;CLVT XD'!A1"/>
    <hyperlink ref="A11" location="'TH&amp;CLVT XD'!A1" tooltip="Về bảng TH và chênh lệch vật tư" display="'TH&amp;CLVT XD'!A1"/>
    <hyperlink ref="A34" location="'TH&amp;CLVT XD'!A1" tooltip="Về bảng TH và chênh lệch vật tư" display="'TH&amp;CLVT XD'!A1"/>
    <hyperlink ref="A54" location="'TH&amp;CLVT XD'!A1" tooltip="Về bảng TH và chênh lệch vật tư" display="'TH&amp;CLVT XD'!A1"/>
    <hyperlink ref="A65" location="'TH&amp;CLVT XD'!A1" tooltip="Về bảng TH và chênh lệch vật tư" display="'TH&amp;CLVT XD'!A1"/>
    <hyperlink ref="A79" location="'TH&amp;CLVT XD'!A1" tooltip="Về bảng TH và chênh lệch vật tư" display="'TH&amp;CLVT XD'!A1"/>
    <hyperlink ref="A98" location="'TH&amp;CLVT XD'!A1" tooltip="Về bảng TH và chênh lệch vật tư" display="'TH&amp;CLVT XD'!A1"/>
    <hyperlink ref="A112" location="'TH&amp;CLVT XD'!A1" tooltip="Về bảng TH và chênh lệch vật tư" display="'TH&amp;CLVT XD'!A1"/>
  </hyperlinks>
  <printOptions horizontalCentered="1"/>
  <pageMargins left="0.59055118110236227" right="0.19685039370078741" top="0.59055118110236227" bottom="0.59055118110236227" header="0.23622047244094491" footer="0.23622047244094491"/>
  <pageSetup paperSize="9" orientation="landscape" blackAndWhite="1" horizontalDpi="300" verticalDpi="300" r:id="rId1"/>
  <headerFooter>
    <oddFooter>&amp;C&amp;P</oddFooter>
  </headerFooter>
  <ignoredErrors>
    <ignoredError sqref="A2" unlockedFormula="1"/>
  </ignoredErrors>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NCXD">
    <tabColor rgb="FFFFFF00"/>
  </sheetPr>
  <dimension ref="A1:I70"/>
  <sheetViews>
    <sheetView showZeros="0" topLeftCell="A55" zoomScaleSheetLayoutView="115" workbookViewId="0">
      <selection activeCell="N11" sqref="N11"/>
    </sheetView>
  </sheetViews>
  <sheetFormatPr defaultColWidth="9" defaultRowHeight="18.75"/>
  <cols>
    <col min="1" max="1" width="5.42578125" style="838" bestFit="1" customWidth="1"/>
    <col min="2" max="2" width="9.5703125" style="839" customWidth="1"/>
    <col min="3" max="3" width="34.42578125" style="1125" customWidth="1"/>
    <col min="4" max="4" width="14.5703125" style="840" customWidth="1"/>
    <col min="5" max="6" width="14.5703125" style="1130" customWidth="1"/>
    <col min="7" max="8" width="21" style="841" customWidth="1"/>
    <col min="9" max="9" width="12.5703125" style="841" customWidth="1"/>
    <col min="10" max="10" width="11.42578125" style="842" customWidth="1"/>
    <col min="11" max="16384" width="9" style="842"/>
  </cols>
  <sheetData>
    <row r="1" spans="1:9" s="4" customFormat="1" ht="26.25" customHeight="1">
      <c r="A1" s="449" t="s">
        <v>379</v>
      </c>
      <c r="B1" s="826"/>
      <c r="C1" s="851"/>
      <c r="D1" s="827"/>
      <c r="E1" s="1126"/>
      <c r="F1" s="1126"/>
      <c r="G1" s="843"/>
      <c r="H1" s="827"/>
      <c r="I1" s="828"/>
    </row>
    <row r="2" spans="1:9" s="4" customFormat="1" ht="22.15" customHeight="1">
      <c r="A2" s="287"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829"/>
      <c r="C2" s="6"/>
      <c r="D2" s="94"/>
      <c r="E2" s="1127"/>
      <c r="F2" s="1127"/>
      <c r="G2" s="48"/>
      <c r="H2" s="103"/>
      <c r="I2" s="544"/>
    </row>
    <row r="3" spans="1:9" s="4" customFormat="1" ht="22.15" customHeight="1">
      <c r="A3" s="1019" t="str">
        <f>'TH vat tu XD'!A3</f>
        <v>HẠNG MỤC: CÔNG TÁC ĐẤT</v>
      </c>
      <c r="B3" s="829"/>
      <c r="C3" s="6"/>
      <c r="D3" s="94"/>
      <c r="E3" s="1127"/>
      <c r="F3" s="1127"/>
      <c r="G3" s="48"/>
      <c r="H3" s="103"/>
      <c r="I3" s="544"/>
    </row>
    <row r="4" spans="1:9" s="4" customFormat="1" ht="15.75">
      <c r="A4" s="830"/>
      <c r="B4" s="25"/>
      <c r="C4" s="318"/>
      <c r="D4" s="22"/>
      <c r="E4" s="1128"/>
      <c r="F4" s="1128"/>
      <c r="G4" s="269"/>
      <c r="H4" s="104"/>
      <c r="I4" s="104"/>
    </row>
    <row r="5" spans="1:9" s="4" customFormat="1" ht="17.25" customHeight="1">
      <c r="A5" s="2588" t="s">
        <v>196</v>
      </c>
      <c r="B5" s="2588" t="s">
        <v>135</v>
      </c>
      <c r="C5" s="2588" t="s">
        <v>245</v>
      </c>
      <c r="D5" s="2588" t="s">
        <v>782</v>
      </c>
      <c r="E5" s="2590" t="s">
        <v>783</v>
      </c>
      <c r="F5" s="2590" t="s">
        <v>784</v>
      </c>
      <c r="G5" s="2586" t="s">
        <v>788</v>
      </c>
      <c r="H5" s="2586" t="s">
        <v>786</v>
      </c>
    </row>
    <row r="6" spans="1:9" s="4" customFormat="1" ht="52.5" customHeight="1">
      <c r="A6" s="2589"/>
      <c r="B6" s="2589"/>
      <c r="C6" s="2589"/>
      <c r="D6" s="2589"/>
      <c r="E6" s="2591"/>
      <c r="F6" s="2591"/>
      <c r="G6" s="2587"/>
      <c r="H6" s="2587"/>
    </row>
    <row r="7" spans="1:9" s="837" customFormat="1" ht="17.25" customHeight="1">
      <c r="A7" s="831" t="s">
        <v>273</v>
      </c>
      <c r="B7" s="832" t="s">
        <v>402</v>
      </c>
      <c r="C7" s="832" t="s">
        <v>403</v>
      </c>
      <c r="D7" s="833" t="s">
        <v>276</v>
      </c>
      <c r="E7" s="1129" t="s">
        <v>277</v>
      </c>
      <c r="F7" s="1129" t="s">
        <v>785</v>
      </c>
      <c r="G7" s="835" t="s">
        <v>278</v>
      </c>
      <c r="H7" s="834" t="s">
        <v>787</v>
      </c>
      <c r="I7" s="836"/>
    </row>
    <row r="8" spans="1:9">
      <c r="A8" s="2375">
        <v>1</v>
      </c>
      <c r="B8" s="2365" t="s">
        <v>1831</v>
      </c>
      <c r="C8" s="2366" t="s">
        <v>1832</v>
      </c>
      <c r="D8" s="2367" t="s">
        <v>2077</v>
      </c>
      <c r="E8" s="2368">
        <v>1.39</v>
      </c>
      <c r="F8" s="2368">
        <v>1.52</v>
      </c>
      <c r="G8" s="2369">
        <f>Ts!N50</f>
        <v>228500</v>
      </c>
      <c r="H8" s="2369">
        <f>E8*G8/F8</f>
        <v>208957.23684210525</v>
      </c>
    </row>
    <row r="9" spans="1:9">
      <c r="A9" s="2376"/>
      <c r="B9" s="2370"/>
      <c r="C9" s="2371"/>
      <c r="D9" s="2372"/>
      <c r="E9" s="2373"/>
      <c r="F9" s="2373"/>
      <c r="G9" s="2374"/>
      <c r="H9" s="2374"/>
    </row>
    <row r="10" spans="1:9" ht="23.25">
      <c r="A10" s="449" t="s">
        <v>379</v>
      </c>
      <c r="B10" s="826"/>
      <c r="C10" s="851"/>
      <c r="D10" s="827"/>
      <c r="E10" s="1126"/>
      <c r="F10" s="1126"/>
      <c r="G10" s="843"/>
      <c r="H10" s="827"/>
    </row>
    <row r="11" spans="1:9">
      <c r="A11" s="287" t="str">
        <f>Ts!H4&amp;Ts!K4</f>
        <v>CÔNG TRÌNH: NHÀ 01 TẦNG, TƯỜNG CHỊU LỰC 110MM, MÁI LỢP FIBRÔXIMĂNG, KHÔNG CÓ KHU VỆ SINH KHÉP KÍN</v>
      </c>
      <c r="B11" s="829"/>
      <c r="C11" s="6"/>
      <c r="D11" s="94"/>
      <c r="E11" s="1127"/>
      <c r="F11" s="1127"/>
      <c r="G11" s="48"/>
      <c r="H11" s="103"/>
    </row>
    <row r="12" spans="1:9">
      <c r="A12" s="1019" t="str">
        <f>'TH vat tu XD'!A20</f>
        <v>HẠNG MỤC: PHẦN MÓNG</v>
      </c>
      <c r="B12" s="829"/>
      <c r="C12" s="6"/>
      <c r="D12" s="94"/>
      <c r="E12" s="1127"/>
      <c r="F12" s="1127"/>
      <c r="G12" s="48"/>
      <c r="H12" s="103"/>
    </row>
    <row r="13" spans="1:9">
      <c r="A13" s="830"/>
      <c r="B13" s="25"/>
      <c r="C13" s="318"/>
      <c r="D13" s="22"/>
      <c r="E13" s="1128"/>
      <c r="F13" s="1128"/>
      <c r="G13" s="269"/>
      <c r="H13" s="104"/>
    </row>
    <row r="14" spans="1:9" ht="65.099999999999994" customHeight="1">
      <c r="A14" s="2588" t="s">
        <v>196</v>
      </c>
      <c r="B14" s="2588" t="s">
        <v>135</v>
      </c>
      <c r="C14" s="2588" t="s">
        <v>245</v>
      </c>
      <c r="D14" s="2588" t="s">
        <v>782</v>
      </c>
      <c r="E14" s="2590" t="s">
        <v>783</v>
      </c>
      <c r="F14" s="2590" t="s">
        <v>784</v>
      </c>
      <c r="G14" s="2586" t="s">
        <v>788</v>
      </c>
      <c r="H14" s="2586" t="s">
        <v>786</v>
      </c>
    </row>
    <row r="15" spans="1:9">
      <c r="A15" s="2589"/>
      <c r="B15" s="2589"/>
      <c r="C15" s="2589"/>
      <c r="D15" s="2589"/>
      <c r="E15" s="2591"/>
      <c r="F15" s="2591"/>
      <c r="G15" s="2587"/>
      <c r="H15" s="2587"/>
    </row>
    <row r="16" spans="1:9">
      <c r="A16" s="2375">
        <v>1</v>
      </c>
      <c r="B16" s="2365" t="s">
        <v>1866</v>
      </c>
      <c r="C16" s="2366" t="s">
        <v>1867</v>
      </c>
      <c r="D16" s="2367" t="s">
        <v>2078</v>
      </c>
      <c r="E16" s="2368">
        <v>1.52</v>
      </c>
      <c r="F16" s="2368">
        <v>1.52</v>
      </c>
      <c r="G16" s="2369">
        <f>Ts!N50</f>
        <v>228500</v>
      </c>
      <c r="H16" s="2369">
        <f>E16*G16/F16</f>
        <v>228500</v>
      </c>
    </row>
    <row r="17" spans="1:8">
      <c r="A17" s="2382">
        <v>2</v>
      </c>
      <c r="B17" s="2377" t="s">
        <v>1907</v>
      </c>
      <c r="C17" s="2378" t="s">
        <v>1908</v>
      </c>
      <c r="D17" s="2379" t="s">
        <v>2077</v>
      </c>
      <c r="E17" s="2380">
        <v>1.39</v>
      </c>
      <c r="F17" s="2380">
        <v>1.52</v>
      </c>
      <c r="G17" s="2381">
        <f>Ts!N50</f>
        <v>228500</v>
      </c>
      <c r="H17" s="2381">
        <f>E17*G17/F17</f>
        <v>208957.23684210525</v>
      </c>
    </row>
    <row r="18" spans="1:8">
      <c r="A18" s="2376"/>
      <c r="B18" s="2370"/>
      <c r="C18" s="2371"/>
      <c r="D18" s="2372"/>
      <c r="E18" s="2373"/>
      <c r="F18" s="2373"/>
      <c r="G18" s="2374"/>
      <c r="H18" s="2374"/>
    </row>
    <row r="19" spans="1:8" ht="23.25">
      <c r="A19" s="449" t="s">
        <v>379</v>
      </c>
      <c r="B19" s="826"/>
      <c r="C19" s="851"/>
      <c r="D19" s="827"/>
      <c r="E19" s="1126"/>
      <c r="F19" s="1126"/>
      <c r="G19" s="843"/>
      <c r="H19" s="827"/>
    </row>
    <row r="20" spans="1:8">
      <c r="A20" s="287" t="str">
        <f>Ts!H4&amp;Ts!K4</f>
        <v>CÔNG TRÌNH: NHÀ 01 TẦNG, TƯỜNG CHỊU LỰC 110MM, MÁI LỢP FIBRÔXIMĂNG, KHÔNG CÓ KHU VỆ SINH KHÉP KÍN</v>
      </c>
      <c r="B20" s="829"/>
      <c r="C20" s="6"/>
      <c r="D20" s="94"/>
      <c r="E20" s="1127"/>
      <c r="F20" s="1127"/>
      <c r="G20" s="48"/>
      <c r="H20" s="103"/>
    </row>
    <row r="21" spans="1:8">
      <c r="A21" s="1019" t="str">
        <f>'TH vat tu XD'!A55</f>
        <v>HẠNG MỤC: PHẦN THÂN</v>
      </c>
      <c r="B21" s="829"/>
      <c r="C21" s="6"/>
      <c r="D21" s="94"/>
      <c r="E21" s="1127"/>
      <c r="F21" s="1127"/>
      <c r="G21" s="48"/>
      <c r="H21" s="103"/>
    </row>
    <row r="22" spans="1:8">
      <c r="A22" s="830"/>
      <c r="B22" s="25"/>
      <c r="C22" s="318"/>
      <c r="D22" s="22"/>
      <c r="E22" s="1128"/>
      <c r="F22" s="1128"/>
      <c r="G22" s="269"/>
      <c r="H22" s="104"/>
    </row>
    <row r="23" spans="1:8" ht="65.099999999999994" customHeight="1">
      <c r="A23" s="2588" t="s">
        <v>196</v>
      </c>
      <c r="B23" s="2588" t="s">
        <v>135</v>
      </c>
      <c r="C23" s="2588" t="s">
        <v>245</v>
      </c>
      <c r="D23" s="2588" t="s">
        <v>782</v>
      </c>
      <c r="E23" s="2590" t="s">
        <v>783</v>
      </c>
      <c r="F23" s="2590" t="s">
        <v>784</v>
      </c>
      <c r="G23" s="2586" t="s">
        <v>788</v>
      </c>
      <c r="H23" s="2586" t="s">
        <v>786</v>
      </c>
    </row>
    <row r="24" spans="1:8">
      <c r="A24" s="2589"/>
      <c r="B24" s="2589"/>
      <c r="C24" s="2589"/>
      <c r="D24" s="2589"/>
      <c r="E24" s="2591"/>
      <c r="F24" s="2591"/>
      <c r="G24" s="2587"/>
      <c r="H24" s="2587"/>
    </row>
    <row r="25" spans="1:8">
      <c r="A25" s="2375">
        <v>1</v>
      </c>
      <c r="B25" s="2365" t="s">
        <v>1866</v>
      </c>
      <c r="C25" s="2366" t="s">
        <v>1867</v>
      </c>
      <c r="D25" s="2367" t="s">
        <v>2078</v>
      </c>
      <c r="E25" s="2368">
        <v>1.52</v>
      </c>
      <c r="F25" s="2368">
        <v>1.52</v>
      </c>
      <c r="G25" s="2369">
        <f>Ts!N50</f>
        <v>228500</v>
      </c>
      <c r="H25" s="2369">
        <f>E25*G25/F25</f>
        <v>228500</v>
      </c>
    </row>
    <row r="26" spans="1:8">
      <c r="A26" s="2382">
        <v>2</v>
      </c>
      <c r="B26" s="2377" t="s">
        <v>1907</v>
      </c>
      <c r="C26" s="2378" t="s">
        <v>1908</v>
      </c>
      <c r="D26" s="2379" t="s">
        <v>2077</v>
      </c>
      <c r="E26" s="2380">
        <v>1.39</v>
      </c>
      <c r="F26" s="2380">
        <v>1.52</v>
      </c>
      <c r="G26" s="2381">
        <f>Ts!N50</f>
        <v>228500</v>
      </c>
      <c r="H26" s="2381">
        <f>E26*G26/F26</f>
        <v>208957.23684210525</v>
      </c>
    </row>
    <row r="27" spans="1:8">
      <c r="A27" s="2376"/>
      <c r="B27" s="2370"/>
      <c r="C27" s="2371"/>
      <c r="D27" s="2372"/>
      <c r="E27" s="2373"/>
      <c r="F27" s="2373"/>
      <c r="G27" s="2374"/>
      <c r="H27" s="2374"/>
    </row>
    <row r="28" spans="1:8" ht="23.25">
      <c r="A28" s="449" t="s">
        <v>379</v>
      </c>
      <c r="B28" s="826"/>
      <c r="C28" s="851"/>
      <c r="D28" s="827"/>
      <c r="E28" s="1126"/>
      <c r="F28" s="1126"/>
      <c r="G28" s="843"/>
      <c r="H28" s="827"/>
    </row>
    <row r="29" spans="1:8">
      <c r="A29" s="287" t="str">
        <f>Ts!H4&amp;Ts!K4</f>
        <v>CÔNG TRÌNH: NHÀ 01 TẦNG, TƯỜNG CHỊU LỰC 110MM, MÁI LỢP FIBRÔXIMĂNG, KHÔNG CÓ KHU VỆ SINH KHÉP KÍN</v>
      </c>
      <c r="B29" s="829"/>
      <c r="C29" s="6"/>
      <c r="D29" s="94"/>
      <c r="E29" s="1127"/>
      <c r="F29" s="1127"/>
      <c r="G29" s="48"/>
      <c r="H29" s="103"/>
    </row>
    <row r="30" spans="1:8">
      <c r="A30" s="1019" t="str">
        <f>'TH vat tu XD'!A86</f>
        <v>HẠNG MỤC: CÔNG TÁC XÂY</v>
      </c>
      <c r="B30" s="829"/>
      <c r="C30" s="6"/>
      <c r="D30" s="94"/>
      <c r="E30" s="1127"/>
      <c r="F30" s="1127"/>
      <c r="G30" s="48"/>
      <c r="H30" s="103"/>
    </row>
    <row r="31" spans="1:8">
      <c r="A31" s="830"/>
      <c r="B31" s="25"/>
      <c r="C31" s="318"/>
      <c r="D31" s="22"/>
      <c r="E31" s="1128"/>
      <c r="F31" s="1128"/>
      <c r="G31" s="269"/>
      <c r="H31" s="104"/>
    </row>
    <row r="32" spans="1:8" ht="65.099999999999994" customHeight="1">
      <c r="A32" s="2588" t="s">
        <v>196</v>
      </c>
      <c r="B32" s="2588" t="s">
        <v>135</v>
      </c>
      <c r="C32" s="2588" t="s">
        <v>245</v>
      </c>
      <c r="D32" s="2588" t="s">
        <v>782</v>
      </c>
      <c r="E32" s="2590" t="s">
        <v>783</v>
      </c>
      <c r="F32" s="2590" t="s">
        <v>784</v>
      </c>
      <c r="G32" s="2586" t="s">
        <v>788</v>
      </c>
      <c r="H32" s="2586" t="s">
        <v>786</v>
      </c>
    </row>
    <row r="33" spans="1:8">
      <c r="A33" s="2589"/>
      <c r="B33" s="2589"/>
      <c r="C33" s="2589"/>
      <c r="D33" s="2589"/>
      <c r="E33" s="2591"/>
      <c r="F33" s="2591"/>
      <c r="G33" s="2587"/>
      <c r="H33" s="2587"/>
    </row>
    <row r="34" spans="1:8">
      <c r="A34" s="2375">
        <v>1</v>
      </c>
      <c r="B34" s="2365" t="s">
        <v>1866</v>
      </c>
      <c r="C34" s="2366" t="s">
        <v>1867</v>
      </c>
      <c r="D34" s="2367" t="s">
        <v>2078</v>
      </c>
      <c r="E34" s="2368">
        <v>1.52</v>
      </c>
      <c r="F34" s="2368">
        <v>1.52</v>
      </c>
      <c r="G34" s="2369">
        <f>Ts!N50</f>
        <v>228500</v>
      </c>
      <c r="H34" s="2369">
        <f>E34*G34/F34</f>
        <v>228500</v>
      </c>
    </row>
    <row r="35" spans="1:8">
      <c r="A35" s="2376"/>
      <c r="B35" s="2370"/>
      <c r="C35" s="2371"/>
      <c r="D35" s="2372"/>
      <c r="E35" s="2373"/>
      <c r="F35" s="2373"/>
      <c r="G35" s="2374"/>
      <c r="H35" s="2374"/>
    </row>
    <row r="36" spans="1:8" ht="23.25">
      <c r="A36" s="449" t="s">
        <v>379</v>
      </c>
      <c r="B36" s="826"/>
      <c r="C36" s="851"/>
      <c r="D36" s="827"/>
      <c r="E36" s="1126"/>
      <c r="F36" s="1126"/>
      <c r="G36" s="843"/>
      <c r="H36" s="827"/>
    </row>
    <row r="37" spans="1:8">
      <c r="A37" s="287" t="str">
        <f>Ts!H4&amp;Ts!K4</f>
        <v>CÔNG TRÌNH: NHÀ 01 TẦNG, TƯỜNG CHỊU LỰC 110MM, MÁI LỢP FIBRÔXIMĂNG, KHÔNG CÓ KHU VỆ SINH KHÉP KÍN</v>
      </c>
      <c r="B37" s="829"/>
      <c r="C37" s="6"/>
      <c r="D37" s="94"/>
      <c r="E37" s="1127"/>
      <c r="F37" s="1127"/>
      <c r="G37" s="48"/>
      <c r="H37" s="103"/>
    </row>
    <row r="38" spans="1:8">
      <c r="A38" s="1019" t="str">
        <f>'TH vat tu XD'!A103</f>
        <v>HẠNG MỤC: HỆ KÉT CẤU MÁI</v>
      </c>
      <c r="B38" s="829"/>
      <c r="C38" s="6"/>
      <c r="D38" s="94"/>
      <c r="E38" s="1127"/>
      <c r="F38" s="1127"/>
      <c r="G38" s="48"/>
      <c r="H38" s="103"/>
    </row>
    <row r="39" spans="1:8">
      <c r="A39" s="830"/>
      <c r="B39" s="25"/>
      <c r="C39" s="318"/>
      <c r="D39" s="22"/>
      <c r="E39" s="1128"/>
      <c r="F39" s="1128"/>
      <c r="G39" s="269"/>
      <c r="H39" s="104"/>
    </row>
    <row r="40" spans="1:8" ht="65.099999999999994" customHeight="1">
      <c r="A40" s="2588" t="s">
        <v>196</v>
      </c>
      <c r="B40" s="2588" t="s">
        <v>135</v>
      </c>
      <c r="C40" s="2588" t="s">
        <v>245</v>
      </c>
      <c r="D40" s="2588" t="s">
        <v>782</v>
      </c>
      <c r="E40" s="2590" t="s">
        <v>783</v>
      </c>
      <c r="F40" s="2590" t="s">
        <v>784</v>
      </c>
      <c r="G40" s="2586" t="s">
        <v>788</v>
      </c>
      <c r="H40" s="2586" t="s">
        <v>786</v>
      </c>
    </row>
    <row r="41" spans="1:8">
      <c r="A41" s="2589"/>
      <c r="B41" s="2589"/>
      <c r="C41" s="2589"/>
      <c r="D41" s="2589"/>
      <c r="E41" s="2591"/>
      <c r="F41" s="2591"/>
      <c r="G41" s="2587"/>
      <c r="H41" s="2587"/>
    </row>
    <row r="42" spans="1:8">
      <c r="A42" s="2375">
        <v>1</v>
      </c>
      <c r="B42" s="2365" t="s">
        <v>1951</v>
      </c>
      <c r="C42" s="2366" t="s">
        <v>1952</v>
      </c>
      <c r="D42" s="2367" t="s">
        <v>2079</v>
      </c>
      <c r="E42" s="2368">
        <v>1.65</v>
      </c>
      <c r="F42" s="2368">
        <v>1.52</v>
      </c>
      <c r="G42" s="2369">
        <f>Ts!N50</f>
        <v>228500</v>
      </c>
      <c r="H42" s="2369">
        <f>E42*G42/F42</f>
        <v>248042.76315789475</v>
      </c>
    </row>
    <row r="43" spans="1:8">
      <c r="A43" s="2382">
        <v>2</v>
      </c>
      <c r="B43" s="2377" t="s">
        <v>1866</v>
      </c>
      <c r="C43" s="2378" t="s">
        <v>1867</v>
      </c>
      <c r="D43" s="2379" t="s">
        <v>2078</v>
      </c>
      <c r="E43" s="2380">
        <v>1.52</v>
      </c>
      <c r="F43" s="2380">
        <v>1.52</v>
      </c>
      <c r="G43" s="2381">
        <f>Ts!N50</f>
        <v>228500</v>
      </c>
      <c r="H43" s="2381">
        <f>E43*G43/F43</f>
        <v>228500</v>
      </c>
    </row>
    <row r="44" spans="1:8">
      <c r="A44" s="2376"/>
      <c r="B44" s="2370"/>
      <c r="C44" s="2371"/>
      <c r="D44" s="2372"/>
      <c r="E44" s="2373"/>
      <c r="F44" s="2373"/>
      <c r="G44" s="2374"/>
      <c r="H44" s="2374"/>
    </row>
    <row r="45" spans="1:8" ht="23.25">
      <c r="A45" s="449" t="s">
        <v>379</v>
      </c>
      <c r="B45" s="826"/>
      <c r="C45" s="851"/>
      <c r="D45" s="827"/>
      <c r="E45" s="1126"/>
      <c r="F45" s="1126"/>
      <c r="G45" s="843"/>
      <c r="H45" s="827"/>
    </row>
    <row r="46" spans="1:8">
      <c r="A46" s="287" t="str">
        <f>Ts!H4&amp;Ts!K4</f>
        <v>CÔNG TRÌNH: NHÀ 01 TẦNG, TƯỜNG CHỊU LỰC 110MM, MÁI LỢP FIBRÔXIMĂNG, KHÔNG CÓ KHU VỆ SINH KHÉP KÍN</v>
      </c>
      <c r="B46" s="829"/>
      <c r="C46" s="6"/>
      <c r="D46" s="94"/>
      <c r="E46" s="1127"/>
      <c r="F46" s="1127"/>
      <c r="G46" s="48"/>
      <c r="H46" s="103"/>
    </row>
    <row r="47" spans="1:8">
      <c r="A47" s="1019" t="str">
        <f>'TH vat tu XD'!A125</f>
        <v>HẠNG MỤC: PHẦN HOÀN THIỆN</v>
      </c>
      <c r="B47" s="829"/>
      <c r="C47" s="6"/>
      <c r="D47" s="94"/>
      <c r="E47" s="1127"/>
      <c r="F47" s="1127"/>
      <c r="G47" s="48"/>
      <c r="H47" s="103"/>
    </row>
    <row r="48" spans="1:8">
      <c r="A48" s="830"/>
      <c r="B48" s="25"/>
      <c r="C48" s="318"/>
      <c r="D48" s="22"/>
      <c r="E48" s="1128"/>
      <c r="F48" s="1128"/>
      <c r="G48" s="269"/>
      <c r="H48" s="104"/>
    </row>
    <row r="49" spans="1:8" ht="65.099999999999994" customHeight="1">
      <c r="A49" s="2588" t="s">
        <v>196</v>
      </c>
      <c r="B49" s="2588" t="s">
        <v>135</v>
      </c>
      <c r="C49" s="2588" t="s">
        <v>245</v>
      </c>
      <c r="D49" s="2588" t="s">
        <v>782</v>
      </c>
      <c r="E49" s="2590" t="s">
        <v>783</v>
      </c>
      <c r="F49" s="2590" t="s">
        <v>784</v>
      </c>
      <c r="G49" s="2586" t="s">
        <v>788</v>
      </c>
      <c r="H49" s="2586" t="s">
        <v>786</v>
      </c>
    </row>
    <row r="50" spans="1:8">
      <c r="A50" s="2589"/>
      <c r="B50" s="2589"/>
      <c r="C50" s="2589"/>
      <c r="D50" s="2589"/>
      <c r="E50" s="2591"/>
      <c r="F50" s="2591"/>
      <c r="G50" s="2587"/>
      <c r="H50" s="2587"/>
    </row>
    <row r="51" spans="1:8">
      <c r="A51" s="2375">
        <v>1</v>
      </c>
      <c r="B51" s="2365" t="s">
        <v>1866</v>
      </c>
      <c r="C51" s="2366" t="s">
        <v>1867</v>
      </c>
      <c r="D51" s="2367" t="s">
        <v>2078</v>
      </c>
      <c r="E51" s="2368">
        <v>1.52</v>
      </c>
      <c r="F51" s="2368">
        <v>1.52</v>
      </c>
      <c r="G51" s="2369">
        <f>Ts!N50</f>
        <v>228500</v>
      </c>
      <c r="H51" s="2369">
        <f>E51*G51/F51</f>
        <v>228500</v>
      </c>
    </row>
    <row r="52" spans="1:8">
      <c r="A52" s="2382">
        <v>2</v>
      </c>
      <c r="B52" s="2377" t="s">
        <v>1951</v>
      </c>
      <c r="C52" s="2378" t="s">
        <v>1952</v>
      </c>
      <c r="D52" s="2379" t="s">
        <v>2079</v>
      </c>
      <c r="E52" s="2380">
        <v>1.65</v>
      </c>
      <c r="F52" s="2380">
        <v>1.52</v>
      </c>
      <c r="G52" s="2381">
        <f>Ts!N50</f>
        <v>228500</v>
      </c>
      <c r="H52" s="2381">
        <f>E52*G52/F52</f>
        <v>248042.76315789475</v>
      </c>
    </row>
    <row r="53" spans="1:8">
      <c r="A53" s="2376"/>
      <c r="B53" s="2370"/>
      <c r="C53" s="2371"/>
      <c r="D53" s="2372"/>
      <c r="E53" s="2373"/>
      <c r="F53" s="2373"/>
      <c r="G53" s="2374"/>
      <c r="H53" s="2374"/>
    </row>
    <row r="54" spans="1:8" ht="23.25">
      <c r="A54" s="449" t="s">
        <v>379</v>
      </c>
      <c r="B54" s="826"/>
      <c r="C54" s="851"/>
      <c r="D54" s="827"/>
      <c r="E54" s="1126"/>
      <c r="F54" s="1126"/>
      <c r="G54" s="843"/>
      <c r="H54" s="827"/>
    </row>
    <row r="55" spans="1:8">
      <c r="A55" s="287" t="str">
        <f>Ts!H4&amp;Ts!K4</f>
        <v>CÔNG TRÌNH: NHÀ 01 TẦNG, TƯỜNG CHỊU LỰC 110MM, MÁI LỢP FIBRÔXIMĂNG, KHÔNG CÓ KHU VỆ SINH KHÉP KÍN</v>
      </c>
      <c r="B55" s="829"/>
      <c r="C55" s="6"/>
      <c r="D55" s="94"/>
      <c r="E55" s="1127"/>
      <c r="F55" s="1127"/>
      <c r="G55" s="48"/>
      <c r="H55" s="103"/>
    </row>
    <row r="56" spans="1:8">
      <c r="A56" s="1019" t="str">
        <f>'TH vat tu XD'!A152</f>
        <v>HẠNG MỤC: HỆ CỬA</v>
      </c>
      <c r="B56" s="829"/>
      <c r="C56" s="6"/>
      <c r="D56" s="94"/>
      <c r="E56" s="1127"/>
      <c r="F56" s="1127"/>
      <c r="G56" s="48"/>
      <c r="H56" s="103"/>
    </row>
    <row r="57" spans="1:8">
      <c r="A57" s="830"/>
      <c r="B57" s="25"/>
      <c r="C57" s="318"/>
      <c r="D57" s="22"/>
      <c r="E57" s="1128"/>
      <c r="F57" s="1128"/>
      <c r="G57" s="269"/>
      <c r="H57" s="104"/>
    </row>
    <row r="58" spans="1:8" ht="65.099999999999994" customHeight="1">
      <c r="A58" s="2588" t="s">
        <v>196</v>
      </c>
      <c r="B58" s="2588" t="s">
        <v>135</v>
      </c>
      <c r="C58" s="2588" t="s">
        <v>245</v>
      </c>
      <c r="D58" s="2588" t="s">
        <v>782</v>
      </c>
      <c r="E58" s="2590" t="s">
        <v>783</v>
      </c>
      <c r="F58" s="2590" t="s">
        <v>784</v>
      </c>
      <c r="G58" s="2586" t="s">
        <v>788</v>
      </c>
      <c r="H58" s="2586" t="s">
        <v>786</v>
      </c>
    </row>
    <row r="59" spans="1:8">
      <c r="A59" s="2589"/>
      <c r="B59" s="2589"/>
      <c r="C59" s="2589"/>
      <c r="D59" s="2589"/>
      <c r="E59" s="2591"/>
      <c r="F59" s="2591"/>
      <c r="G59" s="2587"/>
      <c r="H59" s="2587"/>
    </row>
    <row r="60" spans="1:8">
      <c r="A60" s="2375">
        <v>1</v>
      </c>
      <c r="B60" s="2365" t="s">
        <v>1951</v>
      </c>
      <c r="C60" s="2366" t="s">
        <v>1952</v>
      </c>
      <c r="D60" s="2367" t="s">
        <v>2079</v>
      </c>
      <c r="E60" s="2368">
        <v>1.65</v>
      </c>
      <c r="F60" s="2368">
        <v>1.52</v>
      </c>
      <c r="G60" s="2369">
        <f>Ts!N50</f>
        <v>228500</v>
      </c>
      <c r="H60" s="2369">
        <f>E60*G60/F60</f>
        <v>248042.76315789475</v>
      </c>
    </row>
    <row r="61" spans="1:8">
      <c r="A61" s="2376"/>
      <c r="B61" s="2370"/>
      <c r="C61" s="2371"/>
      <c r="D61" s="2372"/>
      <c r="E61" s="2373"/>
      <c r="F61" s="2373"/>
      <c r="G61" s="2374"/>
      <c r="H61" s="2374"/>
    </row>
    <row r="62" spans="1:8" ht="23.25">
      <c r="A62" s="449" t="s">
        <v>379</v>
      </c>
      <c r="B62" s="826"/>
      <c r="C62" s="851"/>
      <c r="D62" s="827"/>
      <c r="E62" s="1126"/>
      <c r="F62" s="1126"/>
      <c r="G62" s="843"/>
      <c r="H62" s="827"/>
    </row>
    <row r="63" spans="1:8">
      <c r="A63" s="287" t="str">
        <f>Ts!H4&amp;Ts!K4</f>
        <v>CÔNG TRÌNH: NHÀ 01 TẦNG, TƯỜNG CHỊU LỰC 110MM, MÁI LỢP FIBRÔXIMĂNG, KHÔNG CÓ KHU VỆ SINH KHÉP KÍN</v>
      </c>
      <c r="B63" s="829"/>
      <c r="C63" s="6"/>
      <c r="D63" s="94"/>
      <c r="E63" s="1127"/>
      <c r="F63" s="1127"/>
      <c r="G63" s="48"/>
      <c r="H63" s="103"/>
    </row>
    <row r="64" spans="1:8">
      <c r="A64" s="1019" t="str">
        <f>'TH vat tu XD'!A175</f>
        <v>HẠNG MỤC: PHẦN ĐIỆN</v>
      </c>
      <c r="B64" s="829"/>
      <c r="C64" s="6"/>
      <c r="D64" s="94"/>
      <c r="E64" s="1127"/>
      <c r="F64" s="1127"/>
      <c r="G64" s="48"/>
      <c r="H64" s="103"/>
    </row>
    <row r="65" spans="1:8">
      <c r="A65" s="830"/>
      <c r="B65" s="25"/>
      <c r="C65" s="318"/>
      <c r="D65" s="22"/>
      <c r="E65" s="1128"/>
      <c r="F65" s="1128"/>
      <c r="G65" s="269"/>
      <c r="H65" s="104"/>
    </row>
    <row r="66" spans="1:8" ht="65.099999999999994" customHeight="1">
      <c r="A66" s="2588" t="s">
        <v>196</v>
      </c>
      <c r="B66" s="2588" t="s">
        <v>135</v>
      </c>
      <c r="C66" s="2588" t="s">
        <v>245</v>
      </c>
      <c r="D66" s="2588" t="s">
        <v>782</v>
      </c>
      <c r="E66" s="2590" t="s">
        <v>783</v>
      </c>
      <c r="F66" s="2590" t="s">
        <v>784</v>
      </c>
      <c r="G66" s="2586" t="s">
        <v>788</v>
      </c>
      <c r="H66" s="2586" t="s">
        <v>786</v>
      </c>
    </row>
    <row r="67" spans="1:8">
      <c r="A67" s="2589"/>
      <c r="B67" s="2589"/>
      <c r="C67" s="2589"/>
      <c r="D67" s="2589"/>
      <c r="E67" s="2591"/>
      <c r="F67" s="2591"/>
      <c r="G67" s="2587"/>
      <c r="H67" s="2587"/>
    </row>
    <row r="68" spans="1:8">
      <c r="A68" s="2375">
        <v>1</v>
      </c>
      <c r="B68" s="2365" t="s">
        <v>1866</v>
      </c>
      <c r="C68" s="2366" t="s">
        <v>1867</v>
      </c>
      <c r="D68" s="2367" t="s">
        <v>2078</v>
      </c>
      <c r="E68" s="2368">
        <v>1.52</v>
      </c>
      <c r="F68" s="2368">
        <v>1.52</v>
      </c>
      <c r="G68" s="2369">
        <f>Ts!N50</f>
        <v>228500</v>
      </c>
      <c r="H68" s="2369">
        <f>E68*G68/F68</f>
        <v>228500</v>
      </c>
    </row>
    <row r="69" spans="1:8">
      <c r="A69" s="2376"/>
      <c r="B69" s="2370"/>
      <c r="C69" s="2371"/>
      <c r="D69" s="2372"/>
      <c r="E69" s="2373"/>
      <c r="F69" s="2373"/>
      <c r="G69" s="2374"/>
      <c r="H69" s="2374"/>
    </row>
    <row r="70" spans="1:8"/>
  </sheetData>
  <mergeCells count="64">
    <mergeCell ref="F66:F67"/>
    <mergeCell ref="G66:G67"/>
    <mergeCell ref="H66:H67"/>
    <mergeCell ref="A66:A67"/>
    <mergeCell ref="B66:B67"/>
    <mergeCell ref="C66:C67"/>
    <mergeCell ref="D66:D67"/>
    <mergeCell ref="E66:E67"/>
    <mergeCell ref="F49:F50"/>
    <mergeCell ref="G49:G50"/>
    <mergeCell ref="H49:H50"/>
    <mergeCell ref="A58:A59"/>
    <mergeCell ref="B58:B59"/>
    <mergeCell ref="C58:C59"/>
    <mergeCell ref="D58:D59"/>
    <mergeCell ref="E58:E59"/>
    <mergeCell ref="F58:F59"/>
    <mergeCell ref="G58:G59"/>
    <mergeCell ref="H58:H59"/>
    <mergeCell ref="A49:A50"/>
    <mergeCell ref="B49:B50"/>
    <mergeCell ref="C49:C50"/>
    <mergeCell ref="D49:D50"/>
    <mergeCell ref="E49:E50"/>
    <mergeCell ref="F32:F33"/>
    <mergeCell ref="G32:G33"/>
    <mergeCell ref="H32:H33"/>
    <mergeCell ref="A40:A41"/>
    <mergeCell ref="B40:B41"/>
    <mergeCell ref="C40:C41"/>
    <mergeCell ref="D40:D41"/>
    <mergeCell ref="E40:E41"/>
    <mergeCell ref="F40:F41"/>
    <mergeCell ref="G40:G41"/>
    <mergeCell ref="H40:H41"/>
    <mergeCell ref="A32:A33"/>
    <mergeCell ref="B32:B33"/>
    <mergeCell ref="C32:C33"/>
    <mergeCell ref="D32:D33"/>
    <mergeCell ref="E32:E33"/>
    <mergeCell ref="F14:F15"/>
    <mergeCell ref="G14:G15"/>
    <mergeCell ref="H14:H15"/>
    <mergeCell ref="A23:A24"/>
    <mergeCell ref="B23:B24"/>
    <mergeCell ref="C23:C24"/>
    <mergeCell ref="D23:D24"/>
    <mergeCell ref="E23:E24"/>
    <mergeCell ref="F23:F24"/>
    <mergeCell ref="G23:G24"/>
    <mergeCell ref="H23:H24"/>
    <mergeCell ref="A14:A15"/>
    <mergeCell ref="B14:B15"/>
    <mergeCell ref="C14:C15"/>
    <mergeCell ref="D14:D15"/>
    <mergeCell ref="E14:E15"/>
    <mergeCell ref="H5:H6"/>
    <mergeCell ref="A5:A6"/>
    <mergeCell ref="B5:B6"/>
    <mergeCell ref="D5:D6"/>
    <mergeCell ref="E5:E6"/>
    <mergeCell ref="C5:C6"/>
    <mergeCell ref="G5:G6"/>
    <mergeCell ref="F5:F6"/>
  </mergeCells>
  <phoneticPr fontId="60" type="noConversion"/>
  <dataValidations count="1">
    <dataValidation allowBlank="1" showInputMessage="1" showErrorMessage="1" sqref="B7:C7"/>
  </dataValidations>
  <printOptions horizontalCentered="1"/>
  <pageMargins left="0.78740157480314965" right="0.39370078740157483" top="0.59055118110236227" bottom="0.59055118110236227" header="0.23622047244094491" footer="0.23622047244094491"/>
  <pageSetup paperSize="9" orientation="landscape" blackAndWhite="1" horizontalDpi="300" verticalDpi="300" r:id="rId1"/>
  <headerFooter>
    <oddFooter>&amp;C&amp;P</oddFooter>
  </headerFooter>
  <ignoredErrors>
    <ignoredError sqref="A2" unlockedFormula="1"/>
  </ignoredErrors>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GCMXD">
    <tabColor rgb="FFFFFF00"/>
  </sheetPr>
  <dimension ref="A1:AO89"/>
  <sheetViews>
    <sheetView showZeros="0" topLeftCell="A46" zoomScaleSheetLayoutView="100" workbookViewId="0">
      <selection activeCell="A8" sqref="A8"/>
    </sheetView>
  </sheetViews>
  <sheetFormatPr defaultColWidth="9.140625" defaultRowHeight="15.75"/>
  <cols>
    <col min="1" max="1" width="5" style="194" customWidth="1"/>
    <col min="2" max="2" width="14.5703125" style="194" customWidth="1"/>
    <col min="3" max="3" width="18.5703125" style="467" customWidth="1"/>
    <col min="4" max="4" width="6.5703125" style="194" customWidth="1"/>
    <col min="5" max="5" width="7.42578125" style="195" hidden="1" customWidth="1"/>
    <col min="6" max="6" width="6.140625" style="194" customWidth="1"/>
    <col min="7" max="7" width="6.140625" style="884" customWidth="1"/>
    <col min="8" max="8" width="5.42578125" style="194" customWidth="1"/>
    <col min="9" max="9" width="5.85546875" style="194" customWidth="1"/>
    <col min="10" max="10" width="6.140625" style="494" customWidth="1"/>
    <col min="11" max="11" width="7.42578125" style="496" customWidth="1"/>
    <col min="12" max="12" width="6" style="194" customWidth="1"/>
    <col min="13" max="13" width="8.42578125" style="484" hidden="1" customWidth="1"/>
    <col min="14" max="14" width="11.42578125" style="488" hidden="1" customWidth="1"/>
    <col min="15" max="15" width="16.5703125" style="511" customWidth="1"/>
    <col min="16" max="16" width="16.5703125" style="488" customWidth="1"/>
    <col min="17" max="18" width="10" style="488" customWidth="1"/>
    <col min="19" max="20" width="10.5703125" style="488" customWidth="1"/>
    <col min="21" max="21" width="10" style="488" customWidth="1"/>
    <col min="22" max="22" width="11.42578125" style="488" customWidth="1"/>
    <col min="23" max="25" width="9" style="488" hidden="1" customWidth="1"/>
    <col min="26" max="28" width="11.5703125" style="488" hidden="1" customWidth="1"/>
    <col min="29" max="29" width="12.5703125" style="488" hidden="1" customWidth="1"/>
    <col min="30" max="30" width="10" style="488" hidden="1" customWidth="1"/>
    <col min="31" max="32" width="8.5703125" style="488" hidden="1" customWidth="1"/>
    <col min="33" max="35" width="7.5703125" style="488" hidden="1" customWidth="1"/>
    <col min="36" max="36" width="10" style="488" hidden="1" customWidth="1"/>
    <col min="37" max="37" width="17.5703125" style="192" customWidth="1"/>
    <col min="38" max="40" width="13.42578125" style="194" customWidth="1"/>
    <col min="41" max="16384" width="9.140625" style="192"/>
  </cols>
  <sheetData>
    <row r="1" spans="1:41" s="11" customFormat="1" ht="22.5">
      <c r="A1" s="256" t="s">
        <v>183</v>
      </c>
      <c r="B1" s="185"/>
      <c r="C1" s="189"/>
      <c r="D1" s="105"/>
      <c r="E1" s="105"/>
      <c r="F1" s="105"/>
      <c r="G1" s="886"/>
      <c r="H1" s="105"/>
      <c r="I1" s="105"/>
      <c r="J1" s="106"/>
      <c r="K1" s="105"/>
      <c r="L1" s="105"/>
      <c r="M1" s="479"/>
      <c r="N1" s="485"/>
      <c r="O1" s="448"/>
      <c r="P1" s="485"/>
      <c r="Q1" s="485"/>
      <c r="R1" s="485"/>
      <c r="S1" s="485"/>
      <c r="T1" s="485"/>
      <c r="U1" s="485"/>
      <c r="V1" s="485"/>
      <c r="W1" s="485"/>
      <c r="X1" s="485"/>
      <c r="Y1" s="485"/>
      <c r="Z1" s="485"/>
      <c r="AA1" s="485"/>
      <c r="AB1" s="485"/>
      <c r="AC1" s="485"/>
      <c r="AD1" s="485"/>
      <c r="AE1" s="485"/>
      <c r="AF1" s="485"/>
      <c r="AG1" s="485"/>
      <c r="AH1" s="485"/>
      <c r="AI1" s="485"/>
      <c r="AJ1" s="485"/>
      <c r="AK1" s="316"/>
      <c r="AL1" s="203" t="s">
        <v>253</v>
      </c>
      <c r="AM1" s="203" t="s">
        <v>586</v>
      </c>
      <c r="AN1" s="203" t="s">
        <v>254</v>
      </c>
    </row>
    <row r="2" spans="1:41" s="11" customFormat="1"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86"/>
      <c r="C2" s="186"/>
      <c r="D2" s="107"/>
      <c r="E2" s="107"/>
      <c r="F2" s="512"/>
      <c r="G2" s="887"/>
      <c r="H2" s="512"/>
      <c r="I2" s="512"/>
      <c r="J2" s="108"/>
      <c r="K2" s="107"/>
      <c r="L2" s="107"/>
      <c r="M2" s="480"/>
      <c r="N2" s="486"/>
      <c r="O2" s="508"/>
      <c r="P2" s="486"/>
      <c r="Q2" s="486"/>
      <c r="R2" s="486"/>
      <c r="S2" s="486"/>
      <c r="T2" s="486"/>
      <c r="U2" s="486"/>
      <c r="V2" s="486"/>
      <c r="W2" s="486"/>
      <c r="X2" s="486"/>
      <c r="Y2" s="486"/>
      <c r="Z2" s="486"/>
      <c r="AA2" s="486"/>
      <c r="AB2" s="486"/>
      <c r="AC2" s="486"/>
      <c r="AD2" s="486"/>
      <c r="AE2" s="486"/>
      <c r="AF2" s="486"/>
      <c r="AG2" s="486"/>
      <c r="AH2" s="486"/>
      <c r="AI2" s="486"/>
      <c r="AJ2" s="486"/>
      <c r="AK2" s="201" t="s">
        <v>491</v>
      </c>
      <c r="AL2" s="314">
        <f>28890/1.1</f>
        <v>26263.63636363636</v>
      </c>
      <c r="AM2" s="314">
        <f>24100/1.1</f>
        <v>21909.090909090908</v>
      </c>
      <c r="AN2" s="314">
        <v>1864.44</v>
      </c>
      <c r="AO2" s="11" t="s">
        <v>2080</v>
      </c>
    </row>
    <row r="3" spans="1:41" s="11" customFormat="1" ht="22.15" customHeight="1">
      <c r="A3" s="1019" t="str">
        <f>'TH vat tu XD'!A3</f>
        <v>HẠNG MỤC: CÔNG TÁC ĐẤT</v>
      </c>
      <c r="B3" s="187"/>
      <c r="C3" s="190"/>
      <c r="D3" s="109"/>
      <c r="E3" s="109"/>
      <c r="F3" s="109"/>
      <c r="G3" s="881"/>
      <c r="H3" s="109"/>
      <c r="I3" s="109"/>
      <c r="J3" s="110"/>
      <c r="K3" s="109"/>
      <c r="L3" s="109"/>
      <c r="M3" s="481"/>
      <c r="N3" s="160"/>
      <c r="O3" s="509"/>
      <c r="P3" s="160"/>
      <c r="Q3" s="160"/>
      <c r="R3" s="160"/>
      <c r="S3" s="160"/>
      <c r="T3" s="160"/>
      <c r="U3" s="160"/>
      <c r="V3" s="160"/>
      <c r="W3" s="160"/>
      <c r="X3" s="160"/>
      <c r="Y3" s="160"/>
      <c r="Z3" s="160"/>
      <c r="AA3" s="160"/>
      <c r="AB3" s="160"/>
      <c r="AC3" s="160"/>
      <c r="AD3" s="160"/>
      <c r="AE3" s="160"/>
      <c r="AF3" s="160"/>
      <c r="AG3" s="160"/>
      <c r="AH3" s="160"/>
      <c r="AI3" s="160"/>
      <c r="AJ3" s="160"/>
      <c r="AK3" s="201" t="s">
        <v>494</v>
      </c>
      <c r="AL3" s="314">
        <f>xang</f>
        <v>18290.909090909088</v>
      </c>
      <c r="AM3" s="314">
        <f>diezel</f>
        <v>16981.81818181818</v>
      </c>
      <c r="AN3" s="314">
        <f>dien</f>
        <v>1896</v>
      </c>
    </row>
    <row r="4" spans="1:41" s="112" customFormat="1" ht="18.75">
      <c r="A4" s="111"/>
      <c r="B4" s="188"/>
      <c r="C4" s="191"/>
      <c r="D4" s="111"/>
      <c r="E4" s="111"/>
      <c r="F4" s="111"/>
      <c r="G4" s="882"/>
      <c r="H4" s="111"/>
      <c r="I4" s="111"/>
      <c r="J4" s="492"/>
      <c r="K4" s="495"/>
      <c r="L4" s="111"/>
      <c r="M4" s="482"/>
      <c r="N4" s="161"/>
      <c r="O4" s="510"/>
      <c r="P4" s="489"/>
      <c r="Q4" s="161"/>
      <c r="R4" s="161"/>
      <c r="S4" s="161"/>
      <c r="T4" s="161"/>
      <c r="U4" s="161"/>
      <c r="V4" s="162" t="s">
        <v>311</v>
      </c>
      <c r="W4" s="489"/>
      <c r="X4" s="489"/>
      <c r="Y4" s="489"/>
      <c r="Z4" s="489"/>
      <c r="AA4" s="489"/>
      <c r="AB4" s="489"/>
      <c r="AC4" s="489"/>
      <c r="AD4" s="489"/>
      <c r="AE4" s="489"/>
      <c r="AF4" s="489"/>
      <c r="AG4" s="489"/>
      <c r="AH4" s="489"/>
      <c r="AI4" s="489"/>
      <c r="AJ4" s="162" t="s">
        <v>311</v>
      </c>
      <c r="AK4" s="201" t="s">
        <v>492</v>
      </c>
      <c r="AL4" s="314">
        <f>AL3-AL2</f>
        <v>-7972.7272727272721</v>
      </c>
      <c r="AM4" s="314">
        <f>AM3-AM2</f>
        <v>-4927.2727272727279</v>
      </c>
      <c r="AN4" s="314">
        <f>AN3-AN2</f>
        <v>31.559999999999945</v>
      </c>
    </row>
    <row r="5" spans="1:41" s="112" customFormat="1" ht="47.45" customHeight="1">
      <c r="A5" s="2592" t="s">
        <v>196</v>
      </c>
      <c r="B5" s="2592" t="s">
        <v>135</v>
      </c>
      <c r="C5" s="2592" t="s">
        <v>236</v>
      </c>
      <c r="D5" s="2592" t="s">
        <v>237</v>
      </c>
      <c r="E5" s="2592" t="s">
        <v>478</v>
      </c>
      <c r="F5" s="2598" t="s">
        <v>233</v>
      </c>
      <c r="G5" s="2599"/>
      <c r="H5" s="2599"/>
      <c r="I5" s="2600"/>
      <c r="J5" s="2594" t="s">
        <v>624</v>
      </c>
      <c r="K5" s="2595"/>
      <c r="L5" s="2602" t="s">
        <v>241</v>
      </c>
      <c r="M5" s="2608" t="s">
        <v>479</v>
      </c>
      <c r="N5" s="2604" t="s">
        <v>480</v>
      </c>
      <c r="O5" s="2602" t="s">
        <v>238</v>
      </c>
      <c r="P5" s="2586" t="s">
        <v>235</v>
      </c>
      <c r="Q5" s="2604" t="s">
        <v>685</v>
      </c>
      <c r="R5" s="2604" t="s">
        <v>686</v>
      </c>
      <c r="S5" s="2604" t="s">
        <v>687</v>
      </c>
      <c r="T5" s="2604" t="s">
        <v>688</v>
      </c>
      <c r="U5" s="2604" t="s">
        <v>689</v>
      </c>
      <c r="V5" s="2604" t="s">
        <v>690</v>
      </c>
      <c r="W5" s="2610"/>
      <c r="X5" s="2611"/>
      <c r="Y5" s="2612"/>
      <c r="Z5" s="2607" t="s">
        <v>243</v>
      </c>
      <c r="AA5" s="2607" t="s">
        <v>239</v>
      </c>
      <c r="AB5" s="2607"/>
      <c r="AC5" s="2613"/>
      <c r="AD5" s="2607" t="s">
        <v>151</v>
      </c>
      <c r="AE5" s="2606" t="s">
        <v>240</v>
      </c>
      <c r="AF5" s="2606" t="s">
        <v>242</v>
      </c>
      <c r="AG5" s="2606"/>
      <c r="AH5" s="2606"/>
      <c r="AI5" s="2606"/>
      <c r="AJ5" s="2601" t="s">
        <v>700</v>
      </c>
      <c r="AL5" s="315"/>
      <c r="AM5" s="315"/>
      <c r="AN5" s="315"/>
    </row>
    <row r="6" spans="1:41" s="112" customFormat="1" ht="47.25">
      <c r="A6" s="2593"/>
      <c r="B6" s="2593"/>
      <c r="C6" s="2593"/>
      <c r="D6" s="2593"/>
      <c r="E6" s="2593"/>
      <c r="F6" s="1052" t="s">
        <v>148</v>
      </c>
      <c r="G6" s="1053" t="s">
        <v>626</v>
      </c>
      <c r="H6" s="1052" t="s">
        <v>149</v>
      </c>
      <c r="I6" s="1052" t="s">
        <v>234</v>
      </c>
      <c r="J6" s="2596"/>
      <c r="K6" s="2597"/>
      <c r="L6" s="2603"/>
      <c r="M6" s="2609"/>
      <c r="N6" s="2605"/>
      <c r="O6" s="2603"/>
      <c r="P6" s="2587"/>
      <c r="Q6" s="2605"/>
      <c r="R6" s="2605"/>
      <c r="S6" s="2605"/>
      <c r="T6" s="2605"/>
      <c r="U6" s="2605"/>
      <c r="V6" s="2605"/>
      <c r="W6" s="1049"/>
      <c r="X6" s="1049"/>
      <c r="Y6" s="1049"/>
      <c r="Z6" s="2607"/>
      <c r="AA6" s="2607"/>
      <c r="AB6" s="2607"/>
      <c r="AC6" s="2614"/>
      <c r="AD6" s="2607"/>
      <c r="AE6" s="2606"/>
      <c r="AF6" s="2606"/>
      <c r="AG6" s="2606"/>
      <c r="AH6" s="2606"/>
      <c r="AI6" s="2606"/>
      <c r="AJ6" s="2601"/>
      <c r="AL6" s="315"/>
      <c r="AM6" s="315"/>
      <c r="AN6" s="315"/>
    </row>
    <row r="7" spans="1:41" s="445" customFormat="1" ht="12.75">
      <c r="A7" s="441" t="s">
        <v>273</v>
      </c>
      <c r="B7" s="441" t="s">
        <v>276</v>
      </c>
      <c r="C7" s="442" t="s">
        <v>277</v>
      </c>
      <c r="D7" s="441" t="s">
        <v>278</v>
      </c>
      <c r="E7" s="441"/>
      <c r="F7" s="441" t="s">
        <v>279</v>
      </c>
      <c r="G7" s="883" t="s">
        <v>280</v>
      </c>
      <c r="H7" s="441" t="s">
        <v>282</v>
      </c>
      <c r="I7" s="441" t="s">
        <v>283</v>
      </c>
      <c r="J7" s="446" t="s">
        <v>288</v>
      </c>
      <c r="K7" s="446"/>
      <c r="L7" s="441" t="s">
        <v>292</v>
      </c>
      <c r="M7" s="483"/>
      <c r="N7" s="447"/>
      <c r="O7" s="442" t="s">
        <v>293</v>
      </c>
      <c r="P7" s="447" t="s">
        <v>294</v>
      </c>
      <c r="Q7" s="447" t="s">
        <v>295</v>
      </c>
      <c r="R7" s="447" t="s">
        <v>296</v>
      </c>
      <c r="S7" s="447" t="s">
        <v>297</v>
      </c>
      <c r="T7" s="447" t="s">
        <v>298</v>
      </c>
      <c r="U7" s="447" t="s">
        <v>299</v>
      </c>
      <c r="V7" s="447" t="s">
        <v>300</v>
      </c>
      <c r="W7" s="490"/>
      <c r="X7" s="490"/>
      <c r="Y7" s="490"/>
      <c r="Z7" s="491" t="s">
        <v>288</v>
      </c>
      <c r="AA7" s="490" t="s">
        <v>292</v>
      </c>
      <c r="AB7" s="490"/>
      <c r="AC7" s="490"/>
      <c r="AD7" s="490" t="s">
        <v>294</v>
      </c>
      <c r="AE7" s="490" t="s">
        <v>295</v>
      </c>
      <c r="AF7" s="490" t="s">
        <v>296</v>
      </c>
      <c r="AG7" s="490"/>
      <c r="AH7" s="490"/>
      <c r="AI7" s="490"/>
      <c r="AJ7" s="490" t="s">
        <v>300</v>
      </c>
    </row>
    <row r="8" spans="1:41" ht="47.25">
      <c r="A8" s="2393">
        <v>1</v>
      </c>
      <c r="B8" s="2393" t="s">
        <v>1839</v>
      </c>
      <c r="C8" s="2394" t="s">
        <v>2081</v>
      </c>
      <c r="D8" s="2395">
        <v>200</v>
      </c>
      <c r="E8" s="2396"/>
      <c r="F8" s="2395">
        <v>20</v>
      </c>
      <c r="G8" s="2397">
        <f>IF(P8&lt;30000000, 0, 0.1)</f>
        <v>0.1</v>
      </c>
      <c r="H8" s="2395">
        <v>5.4</v>
      </c>
      <c r="I8" s="2395">
        <v>4</v>
      </c>
      <c r="J8" s="2398">
        <v>4</v>
      </c>
      <c r="K8" s="2399" t="s">
        <v>2082</v>
      </c>
      <c r="L8" s="2395">
        <v>1.02</v>
      </c>
      <c r="M8" s="2400"/>
      <c r="N8" s="2401"/>
      <c r="O8" s="2393" t="s">
        <v>2083</v>
      </c>
      <c r="P8" s="2401">
        <v>35771000</v>
      </c>
      <c r="Q8" s="2402">
        <f>IFERROR(ROUND((P8-P8*G8)*F8%/D8,0),0)</f>
        <v>32194</v>
      </c>
      <c r="R8" s="2402">
        <f>IFERROR(ROUND(P8*H8%/D8,0),0)</f>
        <v>9658</v>
      </c>
      <c r="S8" s="2402">
        <f>ROUND(J8*AL3*L8,0)</f>
        <v>74627</v>
      </c>
      <c r="T8" s="2402">
        <f>'Tho lai may'!H12</f>
        <v>0</v>
      </c>
      <c r="U8" s="2402">
        <f>IFERROR(ROUND(P8*I8%/D8,0),0)</f>
        <v>7154</v>
      </c>
      <c r="V8" s="2402">
        <f>Q8+R8+S8+T8+U8</f>
        <v>123633</v>
      </c>
      <c r="W8" s="2401"/>
      <c r="X8" s="2401"/>
      <c r="Y8" s="2401"/>
      <c r="Z8" s="2401"/>
      <c r="AA8" s="2401"/>
      <c r="AB8" s="2401"/>
      <c r="AC8" s="2401"/>
      <c r="AD8" s="2401"/>
      <c r="AE8" s="2401"/>
      <c r="AF8" s="2401"/>
      <c r="AG8" s="2401"/>
      <c r="AH8" s="2401"/>
      <c r="AI8" s="2401"/>
      <c r="AJ8" s="2401"/>
    </row>
    <row r="9" spans="1:41" ht="47.25">
      <c r="A9" s="2403">
        <v>2</v>
      </c>
      <c r="B9" s="2403" t="s">
        <v>1834</v>
      </c>
      <c r="C9" s="2404" t="s">
        <v>2086</v>
      </c>
      <c r="D9" s="2405">
        <v>280</v>
      </c>
      <c r="E9" s="2406"/>
      <c r="F9" s="2405">
        <v>17</v>
      </c>
      <c r="G9" s="2407">
        <f>IF(P9&lt;30000000, 0, 0.1)</f>
        <v>0.1</v>
      </c>
      <c r="H9" s="2405">
        <v>5.8</v>
      </c>
      <c r="I9" s="2405">
        <v>5</v>
      </c>
      <c r="J9" s="2408">
        <v>65</v>
      </c>
      <c r="K9" s="2409" t="s">
        <v>2087</v>
      </c>
      <c r="L9" s="2405">
        <v>1.03</v>
      </c>
      <c r="M9" s="2410"/>
      <c r="N9" s="2411"/>
      <c r="O9" s="2403" t="s">
        <v>2088</v>
      </c>
      <c r="P9" s="2411">
        <v>1183203000</v>
      </c>
      <c r="Q9" s="2412">
        <f>IFERROR(ROUND((P9-P9*G9)*F9%/D9,0),0)</f>
        <v>646536</v>
      </c>
      <c r="R9" s="2412">
        <f>IFERROR(ROUND(P9*H9%/D9,0),0)</f>
        <v>245092</v>
      </c>
      <c r="S9" s="2412">
        <f>ROUND(J9*AM3*L9,0)</f>
        <v>1136933</v>
      </c>
      <c r="T9" s="2412">
        <f>'Tho lai may'!H13</f>
        <v>0</v>
      </c>
      <c r="U9" s="2412">
        <f>IFERROR(ROUND(P9*I9%/D9,0),0)</f>
        <v>211286</v>
      </c>
      <c r="V9" s="2412">
        <f>Q9+R9+S9+T9+U9</f>
        <v>2239847</v>
      </c>
      <c r="W9" s="2411"/>
      <c r="X9" s="2411"/>
      <c r="Y9" s="2411"/>
      <c r="Z9" s="2411"/>
      <c r="AA9" s="2411"/>
      <c r="AB9" s="2411"/>
      <c r="AC9" s="2411"/>
      <c r="AD9" s="2411"/>
      <c r="AE9" s="2411"/>
      <c r="AF9" s="2411"/>
      <c r="AG9" s="2411"/>
      <c r="AH9" s="2411"/>
      <c r="AI9" s="2411"/>
      <c r="AJ9" s="2411"/>
    </row>
    <row r="10" spans="1:41" ht="31.5">
      <c r="A10" s="2403">
        <v>3</v>
      </c>
      <c r="B10" s="2403" t="s">
        <v>1843</v>
      </c>
      <c r="C10" s="2404" t="s">
        <v>2091</v>
      </c>
      <c r="D10" s="2405">
        <v>260</v>
      </c>
      <c r="E10" s="2406"/>
      <c r="F10" s="2405">
        <v>17</v>
      </c>
      <c r="G10" s="2407">
        <f>IF(P10&lt;30000000, 0, 0.1)</f>
        <v>0.1</v>
      </c>
      <c r="H10" s="2405">
        <v>7.5</v>
      </c>
      <c r="I10" s="2405">
        <v>6</v>
      </c>
      <c r="J10" s="2408">
        <v>41</v>
      </c>
      <c r="K10" s="2409" t="s">
        <v>2087</v>
      </c>
      <c r="L10" s="2405">
        <v>1.03</v>
      </c>
      <c r="M10" s="2410"/>
      <c r="N10" s="2411"/>
      <c r="O10" s="2403" t="s">
        <v>2092</v>
      </c>
      <c r="P10" s="2411">
        <v>437559000</v>
      </c>
      <c r="Q10" s="2412">
        <f>IFERROR(ROUND((P10-P10*G10)*F10%/D10,0),0)</f>
        <v>257487</v>
      </c>
      <c r="R10" s="2412">
        <f>IFERROR(ROUND(P10*H10%/D10,0),0)</f>
        <v>126219</v>
      </c>
      <c r="S10" s="2412">
        <f>ROUND(J10*AM3*L10,0)</f>
        <v>717142</v>
      </c>
      <c r="T10" s="2412">
        <f>'Tho lai may'!H10</f>
        <v>249900</v>
      </c>
      <c r="U10" s="2412">
        <f>IFERROR(ROUND(P10*I10%/D10,0),0)</f>
        <v>100975</v>
      </c>
      <c r="V10" s="2412">
        <f>Q10+R10+S10+T10+U10</f>
        <v>1451723</v>
      </c>
      <c r="W10" s="2411"/>
      <c r="X10" s="2411"/>
      <c r="Y10" s="2411"/>
      <c r="Z10" s="2411"/>
      <c r="AA10" s="2411"/>
      <c r="AB10" s="2411"/>
      <c r="AC10" s="2411"/>
      <c r="AD10" s="2411"/>
      <c r="AE10" s="2411"/>
      <c r="AF10" s="2411"/>
      <c r="AG10" s="2411"/>
      <c r="AH10" s="2411"/>
      <c r="AI10" s="2411"/>
      <c r="AJ10" s="2411"/>
    </row>
    <row r="11" spans="1:41">
      <c r="A11" s="2405"/>
      <c r="B11" s="2405"/>
      <c r="C11" s="2413"/>
      <c r="D11" s="2405"/>
      <c r="E11" s="2406"/>
      <c r="F11" s="2405"/>
      <c r="G11" s="2407"/>
      <c r="H11" s="2405"/>
      <c r="I11" s="2405"/>
      <c r="J11" s="2408"/>
      <c r="K11" s="2409"/>
      <c r="L11" s="2405"/>
      <c r="M11" s="2410"/>
      <c r="N11" s="2411"/>
      <c r="O11" s="2403"/>
      <c r="P11" s="2411"/>
      <c r="Q11" s="2411"/>
      <c r="R11" s="2411"/>
      <c r="S11" s="2411"/>
      <c r="T11" s="2411"/>
      <c r="U11" s="2411"/>
      <c r="V11" s="2411"/>
      <c r="W11" s="2411"/>
      <c r="X11" s="2411"/>
      <c r="Y11" s="2411"/>
      <c r="Z11" s="2411"/>
      <c r="AA11" s="2411"/>
      <c r="AB11" s="2411"/>
      <c r="AC11" s="2411"/>
      <c r="AD11" s="2411"/>
      <c r="AE11" s="2411"/>
      <c r="AF11" s="2411"/>
      <c r="AG11" s="2411"/>
      <c r="AH11" s="2411"/>
      <c r="AI11" s="2411"/>
      <c r="AJ11" s="2411"/>
    </row>
    <row r="12" spans="1:41">
      <c r="A12" s="2414"/>
      <c r="B12" s="2414"/>
      <c r="C12" s="2415"/>
      <c r="D12" s="2414"/>
      <c r="E12" s="2416"/>
      <c r="F12" s="2414"/>
      <c r="G12" s="2417"/>
      <c r="H12" s="2414"/>
      <c r="I12" s="2414"/>
      <c r="J12" s="2418"/>
      <c r="K12" s="2419"/>
      <c r="L12" s="2414"/>
      <c r="M12" s="2420"/>
      <c r="N12" s="2421"/>
      <c r="O12" s="2422"/>
      <c r="P12" s="2421"/>
      <c r="Q12" s="2421"/>
      <c r="R12" s="2421"/>
      <c r="S12" s="2421"/>
      <c r="T12" s="2421"/>
      <c r="U12" s="2421"/>
      <c r="V12" s="2421"/>
      <c r="W12" s="2421"/>
      <c r="X12" s="2421"/>
      <c r="Y12" s="2421"/>
      <c r="Z12" s="2421"/>
      <c r="AA12" s="2421"/>
      <c r="AB12" s="2421"/>
      <c r="AC12" s="2421"/>
      <c r="AD12" s="2421"/>
      <c r="AE12" s="2421"/>
      <c r="AF12" s="2421"/>
      <c r="AG12" s="2421"/>
      <c r="AH12" s="2421"/>
      <c r="AI12" s="2421"/>
      <c r="AJ12" s="2421"/>
    </row>
    <row r="13" spans="1:41" ht="22.5">
      <c r="A13" s="256" t="s">
        <v>183</v>
      </c>
      <c r="B13" s="185"/>
      <c r="C13" s="189"/>
      <c r="D13" s="105"/>
      <c r="E13" s="105"/>
      <c r="F13" s="105"/>
      <c r="G13" s="886"/>
      <c r="H13" s="105"/>
      <c r="I13" s="105"/>
      <c r="J13" s="106"/>
      <c r="K13" s="105"/>
      <c r="L13" s="105"/>
      <c r="M13" s="479"/>
      <c r="N13" s="485"/>
      <c r="O13" s="448"/>
      <c r="P13" s="485"/>
      <c r="Q13" s="485"/>
      <c r="R13" s="485"/>
      <c r="S13" s="485"/>
      <c r="T13" s="485"/>
      <c r="U13" s="485"/>
      <c r="V13" s="485"/>
      <c r="W13" s="485"/>
      <c r="X13" s="485"/>
      <c r="Y13" s="485"/>
      <c r="Z13" s="485"/>
      <c r="AA13" s="485"/>
      <c r="AB13" s="485"/>
      <c r="AC13" s="485"/>
      <c r="AD13" s="485"/>
      <c r="AE13" s="485"/>
      <c r="AF13" s="485"/>
      <c r="AG13" s="485"/>
      <c r="AH13" s="485"/>
      <c r="AI13" s="485"/>
      <c r="AJ13" s="485"/>
    </row>
    <row r="14" spans="1:41" ht="18.75">
      <c r="A14" s="1019" t="str">
        <f>Ts!H4&amp;Ts!K4</f>
        <v>CÔNG TRÌNH: NHÀ 01 TẦNG, TƯỜNG CHỊU LỰC 110MM, MÁI LỢP FIBRÔXIMĂNG, KHÔNG CÓ KHU VỆ SINH KHÉP KÍN</v>
      </c>
      <c r="B14" s="186"/>
      <c r="C14" s="186"/>
      <c r="D14" s="107"/>
      <c r="E14" s="107"/>
      <c r="F14" s="512"/>
      <c r="G14" s="887"/>
      <c r="H14" s="512"/>
      <c r="I14" s="512"/>
      <c r="J14" s="108"/>
      <c r="K14" s="107"/>
      <c r="L14" s="107"/>
      <c r="M14" s="480"/>
      <c r="N14" s="486"/>
      <c r="O14" s="508"/>
      <c r="P14" s="486"/>
      <c r="Q14" s="486"/>
      <c r="R14" s="486"/>
      <c r="S14" s="486"/>
      <c r="T14" s="486"/>
      <c r="U14" s="486"/>
      <c r="V14" s="486"/>
      <c r="W14" s="486"/>
      <c r="X14" s="486"/>
      <c r="Y14" s="486"/>
      <c r="Z14" s="486"/>
      <c r="AA14" s="486"/>
      <c r="AB14" s="486"/>
      <c r="AC14" s="486"/>
      <c r="AD14" s="486"/>
      <c r="AE14" s="486"/>
      <c r="AF14" s="486"/>
      <c r="AG14" s="486"/>
      <c r="AH14" s="486"/>
      <c r="AI14" s="486"/>
      <c r="AJ14" s="486"/>
    </row>
    <row r="15" spans="1:41" ht="18.75">
      <c r="A15" s="1019" t="str">
        <f>'TH vat tu XD'!A20</f>
        <v>HẠNG MỤC: PHẦN MÓNG</v>
      </c>
      <c r="B15" s="187"/>
      <c r="C15" s="190"/>
      <c r="D15" s="109"/>
      <c r="E15" s="109"/>
      <c r="F15" s="109"/>
      <c r="G15" s="881"/>
      <c r="H15" s="109"/>
      <c r="I15" s="109"/>
      <c r="J15" s="110"/>
      <c r="K15" s="109"/>
      <c r="L15" s="109"/>
      <c r="M15" s="481"/>
      <c r="N15" s="160"/>
      <c r="O15" s="509"/>
      <c r="P15" s="160"/>
      <c r="Q15" s="160"/>
      <c r="R15" s="160"/>
      <c r="S15" s="160"/>
      <c r="T15" s="160"/>
      <c r="U15" s="160"/>
      <c r="V15" s="160"/>
      <c r="W15" s="160"/>
      <c r="X15" s="160"/>
      <c r="Y15" s="160"/>
      <c r="Z15" s="160"/>
      <c r="AA15" s="160"/>
      <c r="AB15" s="160"/>
      <c r="AC15" s="160"/>
      <c r="AD15" s="160"/>
      <c r="AE15" s="160"/>
      <c r="AF15" s="160"/>
      <c r="AG15" s="160"/>
      <c r="AH15" s="160"/>
      <c r="AI15" s="160"/>
      <c r="AJ15" s="160"/>
    </row>
    <row r="16" spans="1:41" ht="18.75">
      <c r="A16" s="111"/>
      <c r="B16" s="188"/>
      <c r="C16" s="191"/>
      <c r="D16" s="111"/>
      <c r="E16" s="111"/>
      <c r="F16" s="111"/>
      <c r="G16" s="882"/>
      <c r="H16" s="111"/>
      <c r="I16" s="111"/>
      <c r="J16" s="492"/>
      <c r="K16" s="495"/>
      <c r="L16" s="111"/>
      <c r="M16" s="482"/>
      <c r="N16" s="161"/>
      <c r="O16" s="510"/>
      <c r="P16" s="489"/>
      <c r="Q16" s="161"/>
      <c r="R16" s="161"/>
      <c r="S16" s="161"/>
      <c r="T16" s="161"/>
      <c r="U16" s="161"/>
      <c r="V16" s="162" t="s">
        <v>311</v>
      </c>
      <c r="W16" s="489"/>
      <c r="X16" s="489"/>
      <c r="Y16" s="489"/>
      <c r="Z16" s="489"/>
      <c r="AA16" s="489"/>
      <c r="AB16" s="489"/>
      <c r="AC16" s="489"/>
      <c r="AD16" s="489"/>
      <c r="AE16" s="489"/>
      <c r="AF16" s="489"/>
      <c r="AG16" s="489"/>
      <c r="AH16" s="489"/>
      <c r="AI16" s="489"/>
      <c r="AJ16" s="162" t="s">
        <v>311</v>
      </c>
    </row>
    <row r="17" spans="1:36" ht="80.099999999999994" customHeight="1">
      <c r="A17" s="2592" t="s">
        <v>196</v>
      </c>
      <c r="B17" s="2592" t="s">
        <v>135</v>
      </c>
      <c r="C17" s="2592" t="s">
        <v>236</v>
      </c>
      <c r="D17" s="2592" t="s">
        <v>237</v>
      </c>
      <c r="E17" s="2592" t="s">
        <v>478</v>
      </c>
      <c r="F17" s="2598" t="s">
        <v>233</v>
      </c>
      <c r="G17" s="2599"/>
      <c r="H17" s="2599"/>
      <c r="I17" s="2600"/>
      <c r="J17" s="2594" t="s">
        <v>624</v>
      </c>
      <c r="K17" s="2595"/>
      <c r="L17" s="2602" t="s">
        <v>241</v>
      </c>
      <c r="M17" s="2608" t="s">
        <v>479</v>
      </c>
      <c r="N17" s="2604" t="s">
        <v>480</v>
      </c>
      <c r="O17" s="2602" t="s">
        <v>238</v>
      </c>
      <c r="P17" s="2586" t="s">
        <v>235</v>
      </c>
      <c r="Q17" s="2604" t="s">
        <v>685</v>
      </c>
      <c r="R17" s="2604" t="s">
        <v>686</v>
      </c>
      <c r="S17" s="2604" t="s">
        <v>687</v>
      </c>
      <c r="T17" s="2604" t="s">
        <v>688</v>
      </c>
      <c r="U17" s="2604" t="s">
        <v>689</v>
      </c>
      <c r="V17" s="2604" t="s">
        <v>690</v>
      </c>
      <c r="W17" s="2610"/>
      <c r="X17" s="2611"/>
      <c r="Y17" s="2612"/>
      <c r="Z17" s="2607" t="s">
        <v>243</v>
      </c>
      <c r="AA17" s="2607" t="s">
        <v>239</v>
      </c>
      <c r="AB17" s="2607"/>
      <c r="AC17" s="2613"/>
      <c r="AD17" s="2607" t="s">
        <v>151</v>
      </c>
      <c r="AE17" s="2606" t="s">
        <v>240</v>
      </c>
      <c r="AF17" s="2606" t="s">
        <v>242</v>
      </c>
      <c r="AG17" s="2606"/>
      <c r="AH17" s="2606"/>
      <c r="AI17" s="2606"/>
      <c r="AJ17" s="2601" t="s">
        <v>700</v>
      </c>
    </row>
    <row r="18" spans="1:36" ht="47.25">
      <c r="A18" s="2593"/>
      <c r="B18" s="2593"/>
      <c r="C18" s="2593"/>
      <c r="D18" s="2593"/>
      <c r="E18" s="2593"/>
      <c r="F18" s="1052" t="s">
        <v>148</v>
      </c>
      <c r="G18" s="1053" t="s">
        <v>626</v>
      </c>
      <c r="H18" s="1052" t="s">
        <v>149</v>
      </c>
      <c r="I18" s="1052" t="s">
        <v>234</v>
      </c>
      <c r="J18" s="2596"/>
      <c r="K18" s="2597"/>
      <c r="L18" s="2603"/>
      <c r="M18" s="2609"/>
      <c r="N18" s="2605"/>
      <c r="O18" s="2603"/>
      <c r="P18" s="2587"/>
      <c r="Q18" s="2605"/>
      <c r="R18" s="2605"/>
      <c r="S18" s="2605"/>
      <c r="T18" s="2605"/>
      <c r="U18" s="2605"/>
      <c r="V18" s="2605"/>
      <c r="W18" s="1049"/>
      <c r="X18" s="1049"/>
      <c r="Y18" s="1049"/>
      <c r="Z18" s="2607"/>
      <c r="AA18" s="2607"/>
      <c r="AB18" s="2607"/>
      <c r="AC18" s="2614"/>
      <c r="AD18" s="2607"/>
      <c r="AE18" s="2606"/>
      <c r="AF18" s="2606"/>
      <c r="AG18" s="2606"/>
      <c r="AH18" s="2606"/>
      <c r="AI18" s="2606"/>
      <c r="AJ18" s="2601"/>
    </row>
    <row r="19" spans="1:36" ht="47.25">
      <c r="A19" s="2393">
        <v>1</v>
      </c>
      <c r="B19" s="2393" t="s">
        <v>1889</v>
      </c>
      <c r="C19" s="2394" t="s">
        <v>2096</v>
      </c>
      <c r="D19" s="2395">
        <v>240</v>
      </c>
      <c r="E19" s="2396"/>
      <c r="F19" s="2395">
        <v>14</v>
      </c>
      <c r="G19" s="2397">
        <f t="shared" ref="G19:G24" si="0">IF(P19&lt;30000000, 0, 0.1)</f>
        <v>0</v>
      </c>
      <c r="H19" s="2395">
        <v>4.0999999999999996</v>
      </c>
      <c r="I19" s="2395">
        <v>4</v>
      </c>
      <c r="J19" s="2398">
        <v>9</v>
      </c>
      <c r="K19" s="2399" t="s">
        <v>2097</v>
      </c>
      <c r="L19" s="2395">
        <v>1.05</v>
      </c>
      <c r="M19" s="2400"/>
      <c r="N19" s="2401"/>
      <c r="O19" s="2393" t="s">
        <v>2083</v>
      </c>
      <c r="P19" s="2401">
        <v>18200000</v>
      </c>
      <c r="Q19" s="2402">
        <f t="shared" ref="Q19:Q24" si="1">IFERROR(ROUND((P19-P19*G19)*F19%/D19,0),0)</f>
        <v>10617</v>
      </c>
      <c r="R19" s="2402">
        <f t="shared" ref="R19:R24" si="2">IFERROR(ROUND(P19*H19%/D19,0),0)</f>
        <v>3109</v>
      </c>
      <c r="S19" s="2402">
        <f>ROUND(J19*AN3*L19,0)</f>
        <v>17917</v>
      </c>
      <c r="T19" s="2402">
        <f>'Tho lai may'!H12</f>
        <v>0</v>
      </c>
      <c r="U19" s="2402">
        <f t="shared" ref="U19:U24" si="3">IFERROR(ROUND(P19*I19%/D19,0),0)</f>
        <v>3033</v>
      </c>
      <c r="V19" s="2402">
        <f t="shared" ref="V19:V24" si="4">Q19+R19+S19+T19+U19</f>
        <v>34676</v>
      </c>
      <c r="W19" s="2401"/>
      <c r="X19" s="2401"/>
      <c r="Y19" s="2401"/>
      <c r="Z19" s="2401"/>
      <c r="AA19" s="2401"/>
      <c r="AB19" s="2401"/>
      <c r="AC19" s="2401"/>
      <c r="AD19" s="2401"/>
      <c r="AE19" s="2401"/>
      <c r="AF19" s="2401"/>
      <c r="AG19" s="2401"/>
      <c r="AH19" s="2401"/>
      <c r="AI19" s="2401"/>
      <c r="AJ19" s="2401"/>
    </row>
    <row r="20" spans="1:36" ht="47.25">
      <c r="A20" s="2403">
        <v>2</v>
      </c>
      <c r="B20" s="2403" t="s">
        <v>1916</v>
      </c>
      <c r="C20" s="2404" t="s">
        <v>2098</v>
      </c>
      <c r="D20" s="2405">
        <v>150</v>
      </c>
      <c r="E20" s="2406"/>
      <c r="F20" s="2405">
        <v>25</v>
      </c>
      <c r="G20" s="2407">
        <f t="shared" si="0"/>
        <v>0</v>
      </c>
      <c r="H20" s="2405">
        <v>8.8000000000000007</v>
      </c>
      <c r="I20" s="2405">
        <v>4</v>
      </c>
      <c r="J20" s="2408">
        <v>5</v>
      </c>
      <c r="K20" s="2409" t="s">
        <v>2097</v>
      </c>
      <c r="L20" s="2405">
        <v>1.05</v>
      </c>
      <c r="M20" s="2410"/>
      <c r="N20" s="2411"/>
      <c r="O20" s="2403" t="s">
        <v>2083</v>
      </c>
      <c r="P20" s="2411">
        <v>6420000</v>
      </c>
      <c r="Q20" s="2412">
        <f t="shared" si="1"/>
        <v>10700</v>
      </c>
      <c r="R20" s="2412">
        <f t="shared" si="2"/>
        <v>3766</v>
      </c>
      <c r="S20" s="2412">
        <f>ROUND(J20*AN3*L20,0)</f>
        <v>9954</v>
      </c>
      <c r="T20" s="2412">
        <f>'Tho lai may'!H12</f>
        <v>0</v>
      </c>
      <c r="U20" s="2412">
        <f t="shared" si="3"/>
        <v>1712</v>
      </c>
      <c r="V20" s="2412">
        <f t="shared" si="4"/>
        <v>26132</v>
      </c>
      <c r="W20" s="2411"/>
      <c r="X20" s="2411"/>
      <c r="Y20" s="2411"/>
      <c r="Z20" s="2411"/>
      <c r="AA20" s="2411"/>
      <c r="AB20" s="2411"/>
      <c r="AC20" s="2411"/>
      <c r="AD20" s="2411"/>
      <c r="AE20" s="2411"/>
      <c r="AF20" s="2411"/>
      <c r="AG20" s="2411"/>
      <c r="AH20" s="2411"/>
      <c r="AI20" s="2411"/>
      <c r="AJ20" s="2411"/>
    </row>
    <row r="21" spans="1:36" ht="47.25">
      <c r="A21" s="2403">
        <v>3</v>
      </c>
      <c r="B21" s="2403" t="s">
        <v>1911</v>
      </c>
      <c r="C21" s="2404" t="s">
        <v>2099</v>
      </c>
      <c r="D21" s="2405">
        <v>150</v>
      </c>
      <c r="E21" s="2406"/>
      <c r="F21" s="2405">
        <v>20</v>
      </c>
      <c r="G21" s="2407">
        <f t="shared" si="0"/>
        <v>0</v>
      </c>
      <c r="H21" s="2405">
        <v>8.8000000000000007</v>
      </c>
      <c r="I21" s="2405">
        <v>4</v>
      </c>
      <c r="J21" s="2408">
        <v>7</v>
      </c>
      <c r="K21" s="2409" t="s">
        <v>2097</v>
      </c>
      <c r="L21" s="2405">
        <v>1.05</v>
      </c>
      <c r="M21" s="2410"/>
      <c r="N21" s="2411"/>
      <c r="O21" s="2403" t="s">
        <v>2083</v>
      </c>
      <c r="P21" s="2411">
        <v>7395000</v>
      </c>
      <c r="Q21" s="2412">
        <f t="shared" si="1"/>
        <v>9860</v>
      </c>
      <c r="R21" s="2412">
        <f t="shared" si="2"/>
        <v>4338</v>
      </c>
      <c r="S21" s="2412">
        <f>ROUND(J21*AN3*L21,0)</f>
        <v>13936</v>
      </c>
      <c r="T21" s="2412">
        <f>'Tho lai may'!H12</f>
        <v>0</v>
      </c>
      <c r="U21" s="2412">
        <f t="shared" si="3"/>
        <v>1972</v>
      </c>
      <c r="V21" s="2412">
        <f t="shared" si="4"/>
        <v>30106</v>
      </c>
      <c r="W21" s="2411"/>
      <c r="X21" s="2411"/>
      <c r="Y21" s="2411"/>
      <c r="Z21" s="2411"/>
      <c r="AA21" s="2411"/>
      <c r="AB21" s="2411"/>
      <c r="AC21" s="2411"/>
      <c r="AD21" s="2411"/>
      <c r="AE21" s="2411"/>
      <c r="AF21" s="2411"/>
      <c r="AG21" s="2411"/>
      <c r="AH21" s="2411"/>
      <c r="AI21" s="2411"/>
      <c r="AJ21" s="2411"/>
    </row>
    <row r="22" spans="1:36" ht="31.5">
      <c r="A22" s="2403">
        <v>4</v>
      </c>
      <c r="B22" s="2403" t="s">
        <v>1896</v>
      </c>
      <c r="C22" s="2404" t="s">
        <v>2100</v>
      </c>
      <c r="D22" s="2405">
        <v>200</v>
      </c>
      <c r="E22" s="2406"/>
      <c r="F22" s="2405">
        <v>21</v>
      </c>
      <c r="G22" s="2407">
        <f t="shared" si="0"/>
        <v>0</v>
      </c>
      <c r="H22" s="2405">
        <v>4.8</v>
      </c>
      <c r="I22" s="2405">
        <v>5</v>
      </c>
      <c r="J22" s="2408">
        <v>48</v>
      </c>
      <c r="K22" s="2409" t="s">
        <v>2097</v>
      </c>
      <c r="L22" s="2405">
        <v>1.05</v>
      </c>
      <c r="M22" s="2410"/>
      <c r="N22" s="2411"/>
      <c r="O22" s="2403" t="s">
        <v>2088</v>
      </c>
      <c r="P22" s="2411">
        <v>16000000</v>
      </c>
      <c r="Q22" s="2412">
        <f t="shared" si="1"/>
        <v>16800</v>
      </c>
      <c r="R22" s="2412">
        <f t="shared" si="2"/>
        <v>3840</v>
      </c>
      <c r="S22" s="2412">
        <f>ROUND(J22*AN3*L22,0)</f>
        <v>95558</v>
      </c>
      <c r="T22" s="2412">
        <f>'Tho lai may'!H13</f>
        <v>0</v>
      </c>
      <c r="U22" s="2412">
        <f t="shared" si="3"/>
        <v>4000</v>
      </c>
      <c r="V22" s="2412">
        <f t="shared" si="4"/>
        <v>120198</v>
      </c>
      <c r="W22" s="2411"/>
      <c r="X22" s="2411"/>
      <c r="Y22" s="2411"/>
      <c r="Z22" s="2411"/>
      <c r="AA22" s="2411"/>
      <c r="AB22" s="2411"/>
      <c r="AC22" s="2411"/>
      <c r="AD22" s="2411"/>
      <c r="AE22" s="2411"/>
      <c r="AF22" s="2411"/>
      <c r="AG22" s="2411"/>
      <c r="AH22" s="2411"/>
      <c r="AI22" s="2411"/>
      <c r="AJ22" s="2411"/>
    </row>
    <row r="23" spans="1:36" ht="31.5">
      <c r="A23" s="2403">
        <v>5</v>
      </c>
      <c r="B23" s="2403" t="s">
        <v>1868</v>
      </c>
      <c r="C23" s="2404" t="s">
        <v>2101</v>
      </c>
      <c r="D23" s="2405">
        <v>170</v>
      </c>
      <c r="E23" s="2406"/>
      <c r="F23" s="2405">
        <v>19</v>
      </c>
      <c r="G23" s="2407">
        <f t="shared" si="0"/>
        <v>0</v>
      </c>
      <c r="H23" s="2405">
        <v>6.8</v>
      </c>
      <c r="I23" s="2405">
        <v>5</v>
      </c>
      <c r="J23" s="2408">
        <v>8</v>
      </c>
      <c r="K23" s="2409" t="s">
        <v>2097</v>
      </c>
      <c r="L23" s="2405">
        <v>1.05</v>
      </c>
      <c r="M23" s="2410"/>
      <c r="N23" s="2411"/>
      <c r="O23" s="2403" t="s">
        <v>2083</v>
      </c>
      <c r="P23" s="2411">
        <v>17828000</v>
      </c>
      <c r="Q23" s="2412">
        <f t="shared" si="1"/>
        <v>19925</v>
      </c>
      <c r="R23" s="2412">
        <f t="shared" si="2"/>
        <v>7131</v>
      </c>
      <c r="S23" s="2412">
        <f>ROUND(J23*AN3*L23,0)</f>
        <v>15926</v>
      </c>
      <c r="T23" s="2412">
        <f>'Tho lai may'!H12</f>
        <v>0</v>
      </c>
      <c r="U23" s="2412">
        <f t="shared" si="3"/>
        <v>5244</v>
      </c>
      <c r="V23" s="2412">
        <f t="shared" si="4"/>
        <v>48226</v>
      </c>
      <c r="W23" s="2411"/>
      <c r="X23" s="2411"/>
      <c r="Y23" s="2411"/>
      <c r="Z23" s="2411"/>
      <c r="AA23" s="2411"/>
      <c r="AB23" s="2411"/>
      <c r="AC23" s="2411"/>
      <c r="AD23" s="2411"/>
      <c r="AE23" s="2411"/>
      <c r="AF23" s="2411"/>
      <c r="AG23" s="2411"/>
      <c r="AH23" s="2411"/>
      <c r="AI23" s="2411"/>
      <c r="AJ23" s="2411"/>
    </row>
    <row r="24" spans="1:36" ht="31.5">
      <c r="A24" s="2403">
        <v>6</v>
      </c>
      <c r="B24" s="2403" t="s">
        <v>1909</v>
      </c>
      <c r="C24" s="2404" t="s">
        <v>2102</v>
      </c>
      <c r="D24" s="2405">
        <v>165</v>
      </c>
      <c r="E24" s="2406"/>
      <c r="F24" s="2405">
        <v>19</v>
      </c>
      <c r="G24" s="2407">
        <f t="shared" si="0"/>
        <v>0.1</v>
      </c>
      <c r="H24" s="2405">
        <v>6.5</v>
      </c>
      <c r="I24" s="2405">
        <v>5</v>
      </c>
      <c r="J24" s="2408">
        <v>11</v>
      </c>
      <c r="K24" s="2409" t="s">
        <v>2097</v>
      </c>
      <c r="L24" s="2405">
        <v>1.05</v>
      </c>
      <c r="M24" s="2410"/>
      <c r="N24" s="2411"/>
      <c r="O24" s="2403" t="s">
        <v>2083</v>
      </c>
      <c r="P24" s="2411">
        <v>30210000</v>
      </c>
      <c r="Q24" s="2412">
        <f t="shared" si="1"/>
        <v>31309</v>
      </c>
      <c r="R24" s="2412">
        <f t="shared" si="2"/>
        <v>11901</v>
      </c>
      <c r="S24" s="2412">
        <f>ROUND(J24*AN3*L24,0)</f>
        <v>21899</v>
      </c>
      <c r="T24" s="2412">
        <f>'Tho lai may'!H12</f>
        <v>0</v>
      </c>
      <c r="U24" s="2412">
        <f t="shared" si="3"/>
        <v>9155</v>
      </c>
      <c r="V24" s="2412">
        <f t="shared" si="4"/>
        <v>74264</v>
      </c>
      <c r="W24" s="2411"/>
      <c r="X24" s="2411"/>
      <c r="Y24" s="2411"/>
      <c r="Z24" s="2411"/>
      <c r="AA24" s="2411"/>
      <c r="AB24" s="2411"/>
      <c r="AC24" s="2411"/>
      <c r="AD24" s="2411"/>
      <c r="AE24" s="2411"/>
      <c r="AF24" s="2411"/>
      <c r="AG24" s="2411"/>
      <c r="AH24" s="2411"/>
      <c r="AI24" s="2411"/>
      <c r="AJ24" s="2411"/>
    </row>
    <row r="25" spans="1:36">
      <c r="A25" s="2405"/>
      <c r="B25" s="2405"/>
      <c r="C25" s="2413"/>
      <c r="D25" s="2405"/>
      <c r="E25" s="2406"/>
      <c r="F25" s="2405"/>
      <c r="G25" s="2407"/>
      <c r="H25" s="2405"/>
      <c r="I25" s="2405"/>
      <c r="J25" s="2408"/>
      <c r="K25" s="2409"/>
      <c r="L25" s="2405"/>
      <c r="M25" s="2410"/>
      <c r="N25" s="2411"/>
      <c r="O25" s="2403"/>
      <c r="P25" s="2411"/>
      <c r="Q25" s="2411"/>
      <c r="R25" s="2411"/>
      <c r="S25" s="2411"/>
      <c r="T25" s="2411"/>
      <c r="U25" s="2411"/>
      <c r="V25" s="2411"/>
      <c r="W25" s="2411"/>
      <c r="X25" s="2411"/>
      <c r="Y25" s="2411"/>
      <c r="Z25" s="2411"/>
      <c r="AA25" s="2411"/>
      <c r="AB25" s="2411"/>
      <c r="AC25" s="2411"/>
      <c r="AD25" s="2411"/>
      <c r="AE25" s="2411"/>
      <c r="AF25" s="2411"/>
      <c r="AG25" s="2411"/>
      <c r="AH25" s="2411"/>
      <c r="AI25" s="2411"/>
      <c r="AJ25" s="2411"/>
    </row>
    <row r="26" spans="1:36">
      <c r="A26" s="2414"/>
      <c r="B26" s="2414"/>
      <c r="C26" s="2415"/>
      <c r="D26" s="2414"/>
      <c r="E26" s="2416"/>
      <c r="F26" s="2414"/>
      <c r="G26" s="2417"/>
      <c r="H26" s="2414"/>
      <c r="I26" s="2414"/>
      <c r="J26" s="2418"/>
      <c r="K26" s="2419"/>
      <c r="L26" s="2414"/>
      <c r="M26" s="2420"/>
      <c r="N26" s="2421"/>
      <c r="O26" s="2422"/>
      <c r="P26" s="2421"/>
      <c r="Q26" s="2421"/>
      <c r="R26" s="2421"/>
      <c r="S26" s="2421"/>
      <c r="T26" s="2421"/>
      <c r="U26" s="2421"/>
      <c r="V26" s="2421"/>
      <c r="W26" s="2421"/>
      <c r="X26" s="2421"/>
      <c r="Y26" s="2421"/>
      <c r="Z26" s="2421"/>
      <c r="AA26" s="2421"/>
      <c r="AB26" s="2421"/>
      <c r="AC26" s="2421"/>
      <c r="AD26" s="2421"/>
      <c r="AE26" s="2421"/>
      <c r="AF26" s="2421"/>
      <c r="AG26" s="2421"/>
      <c r="AH26" s="2421"/>
      <c r="AI26" s="2421"/>
      <c r="AJ26" s="2421"/>
    </row>
    <row r="27" spans="1:36" ht="22.5">
      <c r="A27" s="256" t="s">
        <v>183</v>
      </c>
      <c r="B27" s="185"/>
      <c r="C27" s="189"/>
      <c r="D27" s="105"/>
      <c r="E27" s="105"/>
      <c r="F27" s="105"/>
      <c r="G27" s="886"/>
      <c r="H27" s="105"/>
      <c r="I27" s="105"/>
      <c r="J27" s="106"/>
      <c r="K27" s="105"/>
      <c r="L27" s="105"/>
      <c r="M27" s="479"/>
      <c r="N27" s="485"/>
      <c r="O27" s="448"/>
      <c r="P27" s="485"/>
      <c r="Q27" s="485"/>
      <c r="R27" s="485"/>
      <c r="S27" s="485"/>
      <c r="T27" s="485"/>
      <c r="U27" s="485"/>
      <c r="V27" s="485"/>
      <c r="W27" s="485"/>
      <c r="X27" s="485"/>
      <c r="Y27" s="485"/>
      <c r="Z27" s="485"/>
      <c r="AA27" s="485"/>
      <c r="AB27" s="485"/>
      <c r="AC27" s="485"/>
      <c r="AD27" s="485"/>
      <c r="AE27" s="485"/>
      <c r="AF27" s="485"/>
      <c r="AG27" s="485"/>
      <c r="AH27" s="485"/>
      <c r="AI27" s="485"/>
      <c r="AJ27" s="485"/>
    </row>
    <row r="28" spans="1:36" ht="18.75">
      <c r="A28" s="1019" t="str">
        <f>Ts!H4&amp;Ts!K4</f>
        <v>CÔNG TRÌNH: NHÀ 01 TẦNG, TƯỜNG CHỊU LỰC 110MM, MÁI LỢP FIBRÔXIMĂNG, KHÔNG CÓ KHU VỆ SINH KHÉP KÍN</v>
      </c>
      <c r="B28" s="186"/>
      <c r="C28" s="186"/>
      <c r="D28" s="107"/>
      <c r="E28" s="107"/>
      <c r="F28" s="512"/>
      <c r="G28" s="887"/>
      <c r="H28" s="512"/>
      <c r="I28" s="512"/>
      <c r="J28" s="108"/>
      <c r="K28" s="107"/>
      <c r="L28" s="107"/>
      <c r="M28" s="480"/>
      <c r="N28" s="486"/>
      <c r="O28" s="508"/>
      <c r="P28" s="486"/>
      <c r="Q28" s="486"/>
      <c r="R28" s="486"/>
      <c r="S28" s="486"/>
      <c r="T28" s="486"/>
      <c r="U28" s="486"/>
      <c r="V28" s="486"/>
      <c r="W28" s="486"/>
      <c r="X28" s="486"/>
      <c r="Y28" s="486"/>
      <c r="Z28" s="486"/>
      <c r="AA28" s="486"/>
      <c r="AB28" s="486"/>
      <c r="AC28" s="486"/>
      <c r="AD28" s="486"/>
      <c r="AE28" s="486"/>
      <c r="AF28" s="486"/>
      <c r="AG28" s="486"/>
      <c r="AH28" s="486"/>
      <c r="AI28" s="486"/>
      <c r="AJ28" s="486"/>
    </row>
    <row r="29" spans="1:36" ht="18.75">
      <c r="A29" s="1019" t="str">
        <f>'TH vat tu XD'!A55</f>
        <v>HẠNG MỤC: PHẦN THÂN</v>
      </c>
      <c r="B29" s="187"/>
      <c r="C29" s="190"/>
      <c r="D29" s="109"/>
      <c r="E29" s="109"/>
      <c r="F29" s="109"/>
      <c r="G29" s="881"/>
      <c r="H29" s="109"/>
      <c r="I29" s="109"/>
      <c r="J29" s="110"/>
      <c r="K29" s="109"/>
      <c r="L29" s="109"/>
      <c r="M29" s="481"/>
      <c r="N29" s="160"/>
      <c r="O29" s="509"/>
      <c r="P29" s="160"/>
      <c r="Q29" s="160"/>
      <c r="R29" s="160"/>
      <c r="S29" s="160"/>
      <c r="T29" s="160"/>
      <c r="U29" s="160"/>
      <c r="V29" s="160"/>
      <c r="W29" s="160"/>
      <c r="X29" s="160"/>
      <c r="Y29" s="160"/>
      <c r="Z29" s="160"/>
      <c r="AA29" s="160"/>
      <c r="AB29" s="160"/>
      <c r="AC29" s="160"/>
      <c r="AD29" s="160"/>
      <c r="AE29" s="160"/>
      <c r="AF29" s="160"/>
      <c r="AG29" s="160"/>
      <c r="AH29" s="160"/>
      <c r="AI29" s="160"/>
      <c r="AJ29" s="160"/>
    </row>
    <row r="30" spans="1:36" ht="18.75">
      <c r="A30" s="111"/>
      <c r="B30" s="188"/>
      <c r="C30" s="191"/>
      <c r="D30" s="111"/>
      <c r="E30" s="111"/>
      <c r="F30" s="111"/>
      <c r="G30" s="882"/>
      <c r="H30" s="111"/>
      <c r="I30" s="111"/>
      <c r="J30" s="492"/>
      <c r="K30" s="495"/>
      <c r="L30" s="111"/>
      <c r="M30" s="482"/>
      <c r="N30" s="161"/>
      <c r="O30" s="510"/>
      <c r="P30" s="489"/>
      <c r="Q30" s="161"/>
      <c r="R30" s="161"/>
      <c r="S30" s="161"/>
      <c r="T30" s="161"/>
      <c r="U30" s="161"/>
      <c r="V30" s="162" t="s">
        <v>311</v>
      </c>
      <c r="W30" s="489"/>
      <c r="X30" s="489"/>
      <c r="Y30" s="489"/>
      <c r="Z30" s="489"/>
      <c r="AA30" s="489"/>
      <c r="AB30" s="489"/>
      <c r="AC30" s="489"/>
      <c r="AD30" s="489"/>
      <c r="AE30" s="489"/>
      <c r="AF30" s="489"/>
      <c r="AG30" s="489"/>
      <c r="AH30" s="489"/>
      <c r="AI30" s="489"/>
      <c r="AJ30" s="162" t="s">
        <v>311</v>
      </c>
    </row>
    <row r="31" spans="1:36" ht="80.099999999999994" customHeight="1">
      <c r="A31" s="2592" t="s">
        <v>196</v>
      </c>
      <c r="B31" s="2592" t="s">
        <v>135</v>
      </c>
      <c r="C31" s="2592" t="s">
        <v>236</v>
      </c>
      <c r="D31" s="2592" t="s">
        <v>237</v>
      </c>
      <c r="E31" s="2592" t="s">
        <v>478</v>
      </c>
      <c r="F31" s="2598" t="s">
        <v>233</v>
      </c>
      <c r="G31" s="2599"/>
      <c r="H31" s="2599"/>
      <c r="I31" s="2600"/>
      <c r="J31" s="2594" t="s">
        <v>624</v>
      </c>
      <c r="K31" s="2595"/>
      <c r="L31" s="2602" t="s">
        <v>241</v>
      </c>
      <c r="M31" s="2608" t="s">
        <v>479</v>
      </c>
      <c r="N31" s="2604" t="s">
        <v>480</v>
      </c>
      <c r="O31" s="2602" t="s">
        <v>238</v>
      </c>
      <c r="P31" s="2586" t="s">
        <v>235</v>
      </c>
      <c r="Q31" s="2604" t="s">
        <v>685</v>
      </c>
      <c r="R31" s="2604" t="s">
        <v>686</v>
      </c>
      <c r="S31" s="2604" t="s">
        <v>687</v>
      </c>
      <c r="T31" s="2604" t="s">
        <v>688</v>
      </c>
      <c r="U31" s="2604" t="s">
        <v>689</v>
      </c>
      <c r="V31" s="2604" t="s">
        <v>690</v>
      </c>
      <c r="W31" s="2610"/>
      <c r="X31" s="2611"/>
      <c r="Y31" s="2612"/>
      <c r="Z31" s="2607" t="s">
        <v>243</v>
      </c>
      <c r="AA31" s="2607" t="s">
        <v>239</v>
      </c>
      <c r="AB31" s="2607"/>
      <c r="AC31" s="2613"/>
      <c r="AD31" s="2607" t="s">
        <v>151</v>
      </c>
      <c r="AE31" s="2606" t="s">
        <v>240</v>
      </c>
      <c r="AF31" s="2606" t="s">
        <v>242</v>
      </c>
      <c r="AG31" s="2606"/>
      <c r="AH31" s="2606"/>
      <c r="AI31" s="2606"/>
      <c r="AJ31" s="2601" t="s">
        <v>700</v>
      </c>
    </row>
    <row r="32" spans="1:36" ht="47.25">
      <c r="A32" s="2593"/>
      <c r="B32" s="2593"/>
      <c r="C32" s="2593"/>
      <c r="D32" s="2593"/>
      <c r="E32" s="2593"/>
      <c r="F32" s="1052" t="s">
        <v>148</v>
      </c>
      <c r="G32" s="1053" t="s">
        <v>626</v>
      </c>
      <c r="H32" s="1052" t="s">
        <v>149</v>
      </c>
      <c r="I32" s="1052" t="s">
        <v>234</v>
      </c>
      <c r="J32" s="2596"/>
      <c r="K32" s="2597"/>
      <c r="L32" s="2603"/>
      <c r="M32" s="2609"/>
      <c r="N32" s="2605"/>
      <c r="O32" s="2603"/>
      <c r="P32" s="2587"/>
      <c r="Q32" s="2605"/>
      <c r="R32" s="2605"/>
      <c r="S32" s="2605"/>
      <c r="T32" s="2605"/>
      <c r="U32" s="2605"/>
      <c r="V32" s="2605"/>
      <c r="W32" s="1049"/>
      <c r="X32" s="1049"/>
      <c r="Y32" s="1049"/>
      <c r="Z32" s="2607"/>
      <c r="AA32" s="2607"/>
      <c r="AB32" s="2607"/>
      <c r="AC32" s="2614"/>
      <c r="AD32" s="2607"/>
      <c r="AE32" s="2606"/>
      <c r="AF32" s="2606"/>
      <c r="AG32" s="2606"/>
      <c r="AH32" s="2606"/>
      <c r="AI32" s="2606"/>
      <c r="AJ32" s="2601"/>
    </row>
    <row r="33" spans="1:36" ht="47.25">
      <c r="A33" s="2393">
        <v>1</v>
      </c>
      <c r="B33" s="2393" t="s">
        <v>1889</v>
      </c>
      <c r="C33" s="2394" t="s">
        <v>2096</v>
      </c>
      <c r="D33" s="2395">
        <v>240</v>
      </c>
      <c r="E33" s="2396"/>
      <c r="F33" s="2395">
        <v>14</v>
      </c>
      <c r="G33" s="2397">
        <f>IF(P33&lt;30000000, 0, 0.1)</f>
        <v>0</v>
      </c>
      <c r="H33" s="2395">
        <v>4.0999999999999996</v>
      </c>
      <c r="I33" s="2395">
        <v>4</v>
      </c>
      <c r="J33" s="2398">
        <v>9</v>
      </c>
      <c r="K33" s="2399" t="s">
        <v>2097</v>
      </c>
      <c r="L33" s="2395">
        <v>1.05</v>
      </c>
      <c r="M33" s="2400"/>
      <c r="N33" s="2401"/>
      <c r="O33" s="2393" t="s">
        <v>2083</v>
      </c>
      <c r="P33" s="2401">
        <v>18200000</v>
      </c>
      <c r="Q33" s="2402">
        <f>IFERROR(ROUND((P33-P33*G33)*F33%/D33,0),0)</f>
        <v>10617</v>
      </c>
      <c r="R33" s="2402">
        <f>IFERROR(ROUND(P33*H33%/D33,0),0)</f>
        <v>3109</v>
      </c>
      <c r="S33" s="2402">
        <f>ROUND(J33*AN3*L33,0)</f>
        <v>17917</v>
      </c>
      <c r="T33" s="2402">
        <f>'Tho lai may'!H12</f>
        <v>0</v>
      </c>
      <c r="U33" s="2402">
        <f>IFERROR(ROUND(P33*I33%/D33,0),0)</f>
        <v>3033</v>
      </c>
      <c r="V33" s="2402">
        <f>Q33+R33+S33+T33+U33</f>
        <v>34676</v>
      </c>
      <c r="W33" s="2401"/>
      <c r="X33" s="2401"/>
      <c r="Y33" s="2401"/>
      <c r="Z33" s="2401"/>
      <c r="AA33" s="2401"/>
      <c r="AB33" s="2401"/>
      <c r="AC33" s="2401"/>
      <c r="AD33" s="2401"/>
      <c r="AE33" s="2401"/>
      <c r="AF33" s="2401"/>
      <c r="AG33" s="2401"/>
      <c r="AH33" s="2401"/>
      <c r="AI33" s="2401"/>
      <c r="AJ33" s="2401"/>
    </row>
    <row r="34" spans="1:36" ht="47.25">
      <c r="A34" s="2403">
        <v>2</v>
      </c>
      <c r="B34" s="2403" t="s">
        <v>1911</v>
      </c>
      <c r="C34" s="2404" t="s">
        <v>2099</v>
      </c>
      <c r="D34" s="2405">
        <v>150</v>
      </c>
      <c r="E34" s="2406"/>
      <c r="F34" s="2405">
        <v>20</v>
      </c>
      <c r="G34" s="2407">
        <f>IF(P34&lt;30000000, 0, 0.1)</f>
        <v>0</v>
      </c>
      <c r="H34" s="2405">
        <v>8.8000000000000007</v>
      </c>
      <c r="I34" s="2405">
        <v>4</v>
      </c>
      <c r="J34" s="2408">
        <v>7</v>
      </c>
      <c r="K34" s="2409" t="s">
        <v>2097</v>
      </c>
      <c r="L34" s="2405">
        <v>1.05</v>
      </c>
      <c r="M34" s="2410"/>
      <c r="N34" s="2411"/>
      <c r="O34" s="2403" t="s">
        <v>2083</v>
      </c>
      <c r="P34" s="2411">
        <v>7395000</v>
      </c>
      <c r="Q34" s="2412">
        <f>IFERROR(ROUND((P34-P34*G34)*F34%/D34,0),0)</f>
        <v>9860</v>
      </c>
      <c r="R34" s="2412">
        <f>IFERROR(ROUND(P34*H34%/D34,0),0)</f>
        <v>4338</v>
      </c>
      <c r="S34" s="2412">
        <f>ROUND(J34*AN3*L34,0)</f>
        <v>13936</v>
      </c>
      <c r="T34" s="2412">
        <f>'Tho lai may'!H12</f>
        <v>0</v>
      </c>
      <c r="U34" s="2412">
        <f>IFERROR(ROUND(P34*I34%/D34,0),0)</f>
        <v>1972</v>
      </c>
      <c r="V34" s="2412">
        <f>Q34+R34+S34+T34+U34</f>
        <v>30106</v>
      </c>
      <c r="W34" s="2411"/>
      <c r="X34" s="2411"/>
      <c r="Y34" s="2411"/>
      <c r="Z34" s="2411"/>
      <c r="AA34" s="2411"/>
      <c r="AB34" s="2411"/>
      <c r="AC34" s="2411"/>
      <c r="AD34" s="2411"/>
      <c r="AE34" s="2411"/>
      <c r="AF34" s="2411"/>
      <c r="AG34" s="2411"/>
      <c r="AH34" s="2411"/>
      <c r="AI34" s="2411"/>
      <c r="AJ34" s="2411"/>
    </row>
    <row r="35" spans="1:36" ht="31.5">
      <c r="A35" s="2403">
        <v>3</v>
      </c>
      <c r="B35" s="2403" t="s">
        <v>1896</v>
      </c>
      <c r="C35" s="2404" t="s">
        <v>2100</v>
      </c>
      <c r="D35" s="2405">
        <v>200</v>
      </c>
      <c r="E35" s="2406"/>
      <c r="F35" s="2405">
        <v>21</v>
      </c>
      <c r="G35" s="2407">
        <f>IF(P35&lt;30000000, 0, 0.1)</f>
        <v>0</v>
      </c>
      <c r="H35" s="2405">
        <v>4.8</v>
      </c>
      <c r="I35" s="2405">
        <v>5</v>
      </c>
      <c r="J35" s="2408">
        <v>48</v>
      </c>
      <c r="K35" s="2409" t="s">
        <v>2097</v>
      </c>
      <c r="L35" s="2405">
        <v>1.05</v>
      </c>
      <c r="M35" s="2410"/>
      <c r="N35" s="2411"/>
      <c r="O35" s="2403" t="s">
        <v>2088</v>
      </c>
      <c r="P35" s="2411">
        <v>16000000</v>
      </c>
      <c r="Q35" s="2412">
        <f>IFERROR(ROUND((P35-P35*G35)*F35%/D35,0),0)</f>
        <v>16800</v>
      </c>
      <c r="R35" s="2412">
        <f>IFERROR(ROUND(P35*H35%/D35,0),0)</f>
        <v>3840</v>
      </c>
      <c r="S35" s="2412">
        <f>ROUND(J35*AN3*L35,0)</f>
        <v>95558</v>
      </c>
      <c r="T35" s="2412">
        <f>'Tho lai may'!H13</f>
        <v>0</v>
      </c>
      <c r="U35" s="2412">
        <f>IFERROR(ROUND(P35*I35%/D35,0),0)</f>
        <v>4000</v>
      </c>
      <c r="V35" s="2412">
        <f>Q35+R35+S35+T35+U35</f>
        <v>120198</v>
      </c>
      <c r="W35" s="2411"/>
      <c r="X35" s="2411"/>
      <c r="Y35" s="2411"/>
      <c r="Z35" s="2411"/>
      <c r="AA35" s="2411"/>
      <c r="AB35" s="2411"/>
      <c r="AC35" s="2411"/>
      <c r="AD35" s="2411"/>
      <c r="AE35" s="2411"/>
      <c r="AF35" s="2411"/>
      <c r="AG35" s="2411"/>
      <c r="AH35" s="2411"/>
      <c r="AI35" s="2411"/>
      <c r="AJ35" s="2411"/>
    </row>
    <row r="36" spans="1:36" ht="31.5">
      <c r="A36" s="2403">
        <v>4</v>
      </c>
      <c r="B36" s="2403" t="s">
        <v>1909</v>
      </c>
      <c r="C36" s="2404" t="s">
        <v>2102</v>
      </c>
      <c r="D36" s="2405">
        <v>165</v>
      </c>
      <c r="E36" s="2406"/>
      <c r="F36" s="2405">
        <v>19</v>
      </c>
      <c r="G36" s="2407">
        <f>IF(P36&lt;30000000, 0, 0.1)</f>
        <v>0.1</v>
      </c>
      <c r="H36" s="2405">
        <v>6.5</v>
      </c>
      <c r="I36" s="2405">
        <v>5</v>
      </c>
      <c r="J36" s="2408">
        <v>11</v>
      </c>
      <c r="K36" s="2409" t="s">
        <v>2097</v>
      </c>
      <c r="L36" s="2405">
        <v>1.05</v>
      </c>
      <c r="M36" s="2410"/>
      <c r="N36" s="2411"/>
      <c r="O36" s="2403" t="s">
        <v>2083</v>
      </c>
      <c r="P36" s="2411">
        <v>30210000</v>
      </c>
      <c r="Q36" s="2412">
        <f>IFERROR(ROUND((P36-P36*G36)*F36%/D36,0),0)</f>
        <v>31309</v>
      </c>
      <c r="R36" s="2412">
        <f>IFERROR(ROUND(P36*H36%/D36,0),0)</f>
        <v>11901</v>
      </c>
      <c r="S36" s="2412">
        <f>ROUND(J36*AN3*L36,0)</f>
        <v>21899</v>
      </c>
      <c r="T36" s="2412">
        <f>'Tho lai may'!H12</f>
        <v>0</v>
      </c>
      <c r="U36" s="2412">
        <f>IFERROR(ROUND(P36*I36%/D36,0),0)</f>
        <v>9155</v>
      </c>
      <c r="V36" s="2412">
        <f>Q36+R36+S36+T36+U36</f>
        <v>74264</v>
      </c>
      <c r="W36" s="2411"/>
      <c r="X36" s="2411"/>
      <c r="Y36" s="2411"/>
      <c r="Z36" s="2411"/>
      <c r="AA36" s="2411"/>
      <c r="AB36" s="2411"/>
      <c r="AC36" s="2411"/>
      <c r="AD36" s="2411"/>
      <c r="AE36" s="2411"/>
      <c r="AF36" s="2411"/>
      <c r="AG36" s="2411"/>
      <c r="AH36" s="2411"/>
      <c r="AI36" s="2411"/>
      <c r="AJ36" s="2411"/>
    </row>
    <row r="37" spans="1:36" ht="31.5">
      <c r="A37" s="2403">
        <v>5</v>
      </c>
      <c r="B37" s="2403" t="s">
        <v>1930</v>
      </c>
      <c r="C37" s="2404" t="s">
        <v>2103</v>
      </c>
      <c r="D37" s="2405">
        <v>290</v>
      </c>
      <c r="E37" s="2406"/>
      <c r="F37" s="2405">
        <v>17</v>
      </c>
      <c r="G37" s="2407">
        <f>IF(P37&lt;30000000, 0, 0.1)</f>
        <v>0.1</v>
      </c>
      <c r="H37" s="2405">
        <v>4.3</v>
      </c>
      <c r="I37" s="2405">
        <v>5</v>
      </c>
      <c r="J37" s="2408">
        <v>21</v>
      </c>
      <c r="K37" s="2409" t="s">
        <v>2097</v>
      </c>
      <c r="L37" s="2405">
        <v>1.05</v>
      </c>
      <c r="M37" s="2410"/>
      <c r="N37" s="2411"/>
      <c r="O37" s="2403" t="s">
        <v>2083</v>
      </c>
      <c r="P37" s="2411">
        <v>187683000</v>
      </c>
      <c r="Q37" s="2412">
        <f>IFERROR(ROUND((P37-P37*G37)*F37%/D37,0),0)</f>
        <v>99019</v>
      </c>
      <c r="R37" s="2412">
        <f>IFERROR(ROUND(P37*H37%/D37,0),0)</f>
        <v>27829</v>
      </c>
      <c r="S37" s="2412">
        <f>ROUND(J37*AN3*L37,0)</f>
        <v>41807</v>
      </c>
      <c r="T37" s="2412">
        <f>'Tho lai may'!H12</f>
        <v>0</v>
      </c>
      <c r="U37" s="2412">
        <f>IFERROR(ROUND(P37*I37%/D37,0),0)</f>
        <v>32359</v>
      </c>
      <c r="V37" s="2412">
        <f>Q37+R37+S37+T37+U37</f>
        <v>201014</v>
      </c>
      <c r="W37" s="2411"/>
      <c r="X37" s="2411"/>
      <c r="Y37" s="2411"/>
      <c r="Z37" s="2411"/>
      <c r="AA37" s="2411"/>
      <c r="AB37" s="2411"/>
      <c r="AC37" s="2411"/>
      <c r="AD37" s="2411"/>
      <c r="AE37" s="2411"/>
      <c r="AF37" s="2411"/>
      <c r="AG37" s="2411"/>
      <c r="AH37" s="2411"/>
      <c r="AI37" s="2411"/>
      <c r="AJ37" s="2411"/>
    </row>
    <row r="38" spans="1:36">
      <c r="A38" s="2405"/>
      <c r="B38" s="2405"/>
      <c r="C38" s="2413"/>
      <c r="D38" s="2405"/>
      <c r="E38" s="2406"/>
      <c r="F38" s="2405"/>
      <c r="G38" s="2407"/>
      <c r="H38" s="2405"/>
      <c r="I38" s="2405"/>
      <c r="J38" s="2408"/>
      <c r="K38" s="2409"/>
      <c r="L38" s="2405"/>
      <c r="M38" s="2410"/>
      <c r="N38" s="2411"/>
      <c r="O38" s="2403"/>
      <c r="P38" s="2411"/>
      <c r="Q38" s="2411"/>
      <c r="R38" s="2411"/>
      <c r="S38" s="2411"/>
      <c r="T38" s="2411"/>
      <c r="U38" s="2411"/>
      <c r="V38" s="2411"/>
      <c r="W38" s="2411"/>
      <c r="X38" s="2411"/>
      <c r="Y38" s="2411"/>
      <c r="Z38" s="2411"/>
      <c r="AA38" s="2411"/>
      <c r="AB38" s="2411"/>
      <c r="AC38" s="2411"/>
      <c r="AD38" s="2411"/>
      <c r="AE38" s="2411"/>
      <c r="AF38" s="2411"/>
      <c r="AG38" s="2411"/>
      <c r="AH38" s="2411"/>
      <c r="AI38" s="2411"/>
      <c r="AJ38" s="2411"/>
    </row>
    <row r="39" spans="1:36">
      <c r="A39" s="2414"/>
      <c r="B39" s="2414"/>
      <c r="C39" s="2415"/>
      <c r="D39" s="2414"/>
      <c r="E39" s="2416"/>
      <c r="F39" s="2414"/>
      <c r="G39" s="2417"/>
      <c r="H39" s="2414"/>
      <c r="I39" s="2414"/>
      <c r="J39" s="2418"/>
      <c r="K39" s="2419"/>
      <c r="L39" s="2414"/>
      <c r="M39" s="2420"/>
      <c r="N39" s="2421"/>
      <c r="O39" s="2422"/>
      <c r="P39" s="2421"/>
      <c r="Q39" s="2421"/>
      <c r="R39" s="2421"/>
      <c r="S39" s="2421"/>
      <c r="T39" s="2421"/>
      <c r="U39" s="2421"/>
      <c r="V39" s="2421"/>
      <c r="W39" s="2421"/>
      <c r="X39" s="2421"/>
      <c r="Y39" s="2421"/>
      <c r="Z39" s="2421"/>
      <c r="AA39" s="2421"/>
      <c r="AB39" s="2421"/>
      <c r="AC39" s="2421"/>
      <c r="AD39" s="2421"/>
      <c r="AE39" s="2421"/>
      <c r="AF39" s="2421"/>
      <c r="AG39" s="2421"/>
      <c r="AH39" s="2421"/>
      <c r="AI39" s="2421"/>
      <c r="AJ39" s="2421"/>
    </row>
    <row r="40" spans="1:36" ht="22.5">
      <c r="A40" s="256" t="s">
        <v>183</v>
      </c>
      <c r="B40" s="185"/>
      <c r="C40" s="189"/>
      <c r="D40" s="105"/>
      <c r="E40" s="105"/>
      <c r="F40" s="105"/>
      <c r="G40" s="886"/>
      <c r="H40" s="105"/>
      <c r="I40" s="105"/>
      <c r="J40" s="106"/>
      <c r="K40" s="105"/>
      <c r="L40" s="105"/>
      <c r="M40" s="479"/>
      <c r="N40" s="485"/>
      <c r="O40" s="448"/>
      <c r="P40" s="485"/>
      <c r="Q40" s="485"/>
      <c r="R40" s="485"/>
      <c r="S40" s="485"/>
      <c r="T40" s="485"/>
      <c r="U40" s="485"/>
      <c r="V40" s="485"/>
      <c r="W40" s="485"/>
      <c r="X40" s="485"/>
      <c r="Y40" s="485"/>
      <c r="Z40" s="485"/>
      <c r="AA40" s="485"/>
      <c r="AB40" s="485"/>
      <c r="AC40" s="485"/>
      <c r="AD40" s="485"/>
      <c r="AE40" s="485"/>
      <c r="AF40" s="485"/>
      <c r="AG40" s="485"/>
      <c r="AH40" s="485"/>
      <c r="AI40" s="485"/>
      <c r="AJ40" s="485"/>
    </row>
    <row r="41" spans="1:36" ht="18.75">
      <c r="A41" s="1019" t="str">
        <f>Ts!H4&amp;Ts!K4</f>
        <v>CÔNG TRÌNH: NHÀ 01 TẦNG, TƯỜNG CHỊU LỰC 110MM, MÁI LỢP FIBRÔXIMĂNG, KHÔNG CÓ KHU VỆ SINH KHÉP KÍN</v>
      </c>
      <c r="B41" s="186"/>
      <c r="C41" s="186"/>
      <c r="D41" s="107"/>
      <c r="E41" s="107"/>
      <c r="F41" s="512"/>
      <c r="G41" s="887"/>
      <c r="H41" s="512"/>
      <c r="I41" s="512"/>
      <c r="J41" s="108"/>
      <c r="K41" s="107"/>
      <c r="L41" s="107"/>
      <c r="M41" s="480"/>
      <c r="N41" s="486"/>
      <c r="O41" s="508"/>
      <c r="P41" s="486"/>
      <c r="Q41" s="486"/>
      <c r="R41" s="486"/>
      <c r="S41" s="486"/>
      <c r="T41" s="486"/>
      <c r="U41" s="486"/>
      <c r="V41" s="486"/>
      <c r="W41" s="486"/>
      <c r="X41" s="486"/>
      <c r="Y41" s="486"/>
      <c r="Z41" s="486"/>
      <c r="AA41" s="486"/>
      <c r="AB41" s="486"/>
      <c r="AC41" s="486"/>
      <c r="AD41" s="486"/>
      <c r="AE41" s="486"/>
      <c r="AF41" s="486"/>
      <c r="AG41" s="486"/>
      <c r="AH41" s="486"/>
      <c r="AI41" s="486"/>
      <c r="AJ41" s="486"/>
    </row>
    <row r="42" spans="1:36" ht="18.75">
      <c r="A42" s="1019" t="str">
        <f>'TH vat tu XD'!A86</f>
        <v>HẠNG MỤC: CÔNG TÁC XÂY</v>
      </c>
      <c r="B42" s="187"/>
      <c r="C42" s="190"/>
      <c r="D42" s="109"/>
      <c r="E42" s="109"/>
      <c r="F42" s="109"/>
      <c r="G42" s="881"/>
      <c r="H42" s="109"/>
      <c r="I42" s="109"/>
      <c r="J42" s="110"/>
      <c r="K42" s="109"/>
      <c r="L42" s="109"/>
      <c r="M42" s="481"/>
      <c r="N42" s="160"/>
      <c r="O42" s="509"/>
      <c r="P42" s="160"/>
      <c r="Q42" s="160"/>
      <c r="R42" s="160"/>
      <c r="S42" s="160"/>
      <c r="T42" s="160"/>
      <c r="U42" s="160"/>
      <c r="V42" s="160"/>
      <c r="W42" s="160"/>
      <c r="X42" s="160"/>
      <c r="Y42" s="160"/>
      <c r="Z42" s="160"/>
      <c r="AA42" s="160"/>
      <c r="AB42" s="160"/>
      <c r="AC42" s="160"/>
      <c r="AD42" s="160"/>
      <c r="AE42" s="160"/>
      <c r="AF42" s="160"/>
      <c r="AG42" s="160"/>
      <c r="AH42" s="160"/>
      <c r="AI42" s="160"/>
      <c r="AJ42" s="160"/>
    </row>
    <row r="43" spans="1:36" ht="18.75">
      <c r="A43" s="111"/>
      <c r="B43" s="188"/>
      <c r="C43" s="191"/>
      <c r="D43" s="111"/>
      <c r="E43" s="111"/>
      <c r="F43" s="111"/>
      <c r="G43" s="882"/>
      <c r="H43" s="111"/>
      <c r="I43" s="111"/>
      <c r="J43" s="492"/>
      <c r="K43" s="495"/>
      <c r="L43" s="111"/>
      <c r="M43" s="482"/>
      <c r="N43" s="161"/>
      <c r="O43" s="510"/>
      <c r="P43" s="489"/>
      <c r="Q43" s="161"/>
      <c r="R43" s="161"/>
      <c r="S43" s="161"/>
      <c r="T43" s="161"/>
      <c r="U43" s="161"/>
      <c r="V43" s="162" t="s">
        <v>311</v>
      </c>
      <c r="W43" s="489"/>
      <c r="X43" s="489"/>
      <c r="Y43" s="489"/>
      <c r="Z43" s="489"/>
      <c r="AA43" s="489"/>
      <c r="AB43" s="489"/>
      <c r="AC43" s="489"/>
      <c r="AD43" s="489"/>
      <c r="AE43" s="489"/>
      <c r="AF43" s="489"/>
      <c r="AG43" s="489"/>
      <c r="AH43" s="489"/>
      <c r="AI43" s="489"/>
      <c r="AJ43" s="162" t="s">
        <v>311</v>
      </c>
    </row>
    <row r="44" spans="1:36" ht="80.099999999999994" customHeight="1">
      <c r="A44" s="2592" t="s">
        <v>196</v>
      </c>
      <c r="B44" s="2592" t="s">
        <v>135</v>
      </c>
      <c r="C44" s="2592" t="s">
        <v>236</v>
      </c>
      <c r="D44" s="2592" t="s">
        <v>237</v>
      </c>
      <c r="E44" s="2592" t="s">
        <v>478</v>
      </c>
      <c r="F44" s="2598" t="s">
        <v>233</v>
      </c>
      <c r="G44" s="2599"/>
      <c r="H44" s="2599"/>
      <c r="I44" s="2600"/>
      <c r="J44" s="2594" t="s">
        <v>624</v>
      </c>
      <c r="K44" s="2595"/>
      <c r="L44" s="2602" t="s">
        <v>241</v>
      </c>
      <c r="M44" s="2608" t="s">
        <v>479</v>
      </c>
      <c r="N44" s="2604" t="s">
        <v>480</v>
      </c>
      <c r="O44" s="2602" t="s">
        <v>238</v>
      </c>
      <c r="P44" s="2586" t="s">
        <v>235</v>
      </c>
      <c r="Q44" s="2604" t="s">
        <v>685</v>
      </c>
      <c r="R44" s="2604" t="s">
        <v>686</v>
      </c>
      <c r="S44" s="2604" t="s">
        <v>687</v>
      </c>
      <c r="T44" s="2604" t="s">
        <v>688</v>
      </c>
      <c r="U44" s="2604" t="s">
        <v>689</v>
      </c>
      <c r="V44" s="2604" t="s">
        <v>690</v>
      </c>
      <c r="W44" s="2610"/>
      <c r="X44" s="2611"/>
      <c r="Y44" s="2612"/>
      <c r="Z44" s="2607" t="s">
        <v>243</v>
      </c>
      <c r="AA44" s="2607" t="s">
        <v>239</v>
      </c>
      <c r="AB44" s="2607"/>
      <c r="AC44" s="2613"/>
      <c r="AD44" s="2607" t="s">
        <v>151</v>
      </c>
      <c r="AE44" s="2606" t="s">
        <v>240</v>
      </c>
      <c r="AF44" s="2606" t="s">
        <v>242</v>
      </c>
      <c r="AG44" s="2606"/>
      <c r="AH44" s="2606"/>
      <c r="AI44" s="2606"/>
      <c r="AJ44" s="2601" t="s">
        <v>700</v>
      </c>
    </row>
    <row r="45" spans="1:36" ht="47.25">
      <c r="A45" s="2593"/>
      <c r="B45" s="2593"/>
      <c r="C45" s="2593"/>
      <c r="D45" s="2593"/>
      <c r="E45" s="2593"/>
      <c r="F45" s="1052" t="s">
        <v>148</v>
      </c>
      <c r="G45" s="1053" t="s">
        <v>626</v>
      </c>
      <c r="H45" s="1052" t="s">
        <v>149</v>
      </c>
      <c r="I45" s="1052" t="s">
        <v>234</v>
      </c>
      <c r="J45" s="2596"/>
      <c r="K45" s="2597"/>
      <c r="L45" s="2603"/>
      <c r="M45" s="2609"/>
      <c r="N45" s="2605"/>
      <c r="O45" s="2603"/>
      <c r="P45" s="2587"/>
      <c r="Q45" s="2605"/>
      <c r="R45" s="2605"/>
      <c r="S45" s="2605"/>
      <c r="T45" s="2605"/>
      <c r="U45" s="2605"/>
      <c r="V45" s="2605"/>
      <c r="W45" s="1049"/>
      <c r="X45" s="1049"/>
      <c r="Y45" s="1049"/>
      <c r="Z45" s="2607"/>
      <c r="AA45" s="2607"/>
      <c r="AB45" s="2607"/>
      <c r="AC45" s="2614"/>
      <c r="AD45" s="2607"/>
      <c r="AE45" s="2606"/>
      <c r="AF45" s="2606"/>
      <c r="AG45" s="2606"/>
      <c r="AH45" s="2606"/>
      <c r="AI45" s="2606"/>
      <c r="AJ45" s="2601"/>
    </row>
    <row r="46" spans="1:36" ht="31.5">
      <c r="A46" s="2393">
        <v>1</v>
      </c>
      <c r="B46" s="2393" t="s">
        <v>1868</v>
      </c>
      <c r="C46" s="2394" t="s">
        <v>2101</v>
      </c>
      <c r="D46" s="2395">
        <v>170</v>
      </c>
      <c r="E46" s="2396"/>
      <c r="F46" s="2395">
        <v>19</v>
      </c>
      <c r="G46" s="2397">
        <f>IF(P46&lt;30000000, 0, 0.1)</f>
        <v>0</v>
      </c>
      <c r="H46" s="2395">
        <v>6.8</v>
      </c>
      <c r="I46" s="2395">
        <v>5</v>
      </c>
      <c r="J46" s="2398">
        <v>8</v>
      </c>
      <c r="K46" s="2399" t="s">
        <v>2097</v>
      </c>
      <c r="L46" s="2395">
        <v>1.05</v>
      </c>
      <c r="M46" s="2400"/>
      <c r="N46" s="2401"/>
      <c r="O46" s="2393" t="s">
        <v>2083</v>
      </c>
      <c r="P46" s="2401">
        <v>17828000</v>
      </c>
      <c r="Q46" s="2402">
        <f>IFERROR(ROUND((P46-P46*G46)*F46%/D46,0),0)</f>
        <v>19925</v>
      </c>
      <c r="R46" s="2402">
        <f>IFERROR(ROUND(P46*H46%/D46,0),0)</f>
        <v>7131</v>
      </c>
      <c r="S46" s="2402">
        <f>ROUND(J46*AN3*L46,0)</f>
        <v>15926</v>
      </c>
      <c r="T46" s="2402">
        <f>'Tho lai may'!H12</f>
        <v>0</v>
      </c>
      <c r="U46" s="2402">
        <f>IFERROR(ROUND(P46*I46%/D46,0),0)</f>
        <v>5244</v>
      </c>
      <c r="V46" s="2402">
        <f>Q46+R46+S46+T46+U46</f>
        <v>48226</v>
      </c>
      <c r="W46" s="2401"/>
      <c r="X46" s="2401"/>
      <c r="Y46" s="2401"/>
      <c r="Z46" s="2401"/>
      <c r="AA46" s="2401"/>
      <c r="AB46" s="2401"/>
      <c r="AC46" s="2401"/>
      <c r="AD46" s="2401"/>
      <c r="AE46" s="2401"/>
      <c r="AF46" s="2401"/>
      <c r="AG46" s="2401"/>
      <c r="AH46" s="2401"/>
      <c r="AI46" s="2401"/>
      <c r="AJ46" s="2401"/>
    </row>
    <row r="47" spans="1:36">
      <c r="A47" s="2405"/>
      <c r="B47" s="2405"/>
      <c r="C47" s="2413"/>
      <c r="D47" s="2405"/>
      <c r="E47" s="2406"/>
      <c r="F47" s="2405"/>
      <c r="G47" s="2407"/>
      <c r="H47" s="2405"/>
      <c r="I47" s="2405"/>
      <c r="J47" s="2408"/>
      <c r="K47" s="2409"/>
      <c r="L47" s="2405"/>
      <c r="M47" s="2410"/>
      <c r="N47" s="2411"/>
      <c r="O47" s="2403"/>
      <c r="P47" s="2411"/>
      <c r="Q47" s="2411"/>
      <c r="R47" s="2411"/>
      <c r="S47" s="2411"/>
      <c r="T47" s="2411"/>
      <c r="U47" s="2411"/>
      <c r="V47" s="2411"/>
      <c r="W47" s="2411"/>
      <c r="X47" s="2411"/>
      <c r="Y47" s="2411"/>
      <c r="Z47" s="2411"/>
      <c r="AA47" s="2411"/>
      <c r="AB47" s="2411"/>
      <c r="AC47" s="2411"/>
      <c r="AD47" s="2411"/>
      <c r="AE47" s="2411"/>
      <c r="AF47" s="2411"/>
      <c r="AG47" s="2411"/>
      <c r="AH47" s="2411"/>
      <c r="AI47" s="2411"/>
      <c r="AJ47" s="2411"/>
    </row>
    <row r="48" spans="1:36">
      <c r="A48" s="2414"/>
      <c r="B48" s="2414"/>
      <c r="C48" s="2415"/>
      <c r="D48" s="2414"/>
      <c r="E48" s="2416"/>
      <c r="F48" s="2414"/>
      <c r="G48" s="2417"/>
      <c r="H48" s="2414"/>
      <c r="I48" s="2414"/>
      <c r="J48" s="2418"/>
      <c r="K48" s="2419"/>
      <c r="L48" s="2414"/>
      <c r="M48" s="2420"/>
      <c r="N48" s="2421"/>
      <c r="O48" s="2422"/>
      <c r="P48" s="2421"/>
      <c r="Q48" s="2421"/>
      <c r="R48" s="2421"/>
      <c r="S48" s="2421"/>
      <c r="T48" s="2421"/>
      <c r="U48" s="2421"/>
      <c r="V48" s="2421"/>
      <c r="W48" s="2421"/>
      <c r="X48" s="2421"/>
      <c r="Y48" s="2421"/>
      <c r="Z48" s="2421"/>
      <c r="AA48" s="2421"/>
      <c r="AB48" s="2421"/>
      <c r="AC48" s="2421"/>
      <c r="AD48" s="2421"/>
      <c r="AE48" s="2421"/>
      <c r="AF48" s="2421"/>
      <c r="AG48" s="2421"/>
      <c r="AH48" s="2421"/>
      <c r="AI48" s="2421"/>
      <c r="AJ48" s="2421"/>
    </row>
    <row r="49" spans="1:36" ht="22.5">
      <c r="A49" s="256" t="s">
        <v>183</v>
      </c>
      <c r="B49" s="185"/>
      <c r="C49" s="189"/>
      <c r="D49" s="105"/>
      <c r="E49" s="105"/>
      <c r="F49" s="105"/>
      <c r="G49" s="886"/>
      <c r="H49" s="105"/>
      <c r="I49" s="105"/>
      <c r="J49" s="106"/>
      <c r="K49" s="105"/>
      <c r="L49" s="105"/>
      <c r="M49" s="479"/>
      <c r="N49" s="485"/>
      <c r="O49" s="448"/>
      <c r="P49" s="485"/>
      <c r="Q49" s="485"/>
      <c r="R49" s="485"/>
      <c r="S49" s="485"/>
      <c r="T49" s="485"/>
      <c r="U49" s="485"/>
      <c r="V49" s="485"/>
      <c r="W49" s="485"/>
      <c r="X49" s="485"/>
      <c r="Y49" s="485"/>
      <c r="Z49" s="485"/>
      <c r="AA49" s="485"/>
      <c r="AB49" s="485"/>
      <c r="AC49" s="485"/>
      <c r="AD49" s="485"/>
      <c r="AE49" s="485"/>
      <c r="AF49" s="485"/>
      <c r="AG49" s="485"/>
      <c r="AH49" s="485"/>
      <c r="AI49" s="485"/>
      <c r="AJ49" s="485"/>
    </row>
    <row r="50" spans="1:36" ht="18.75">
      <c r="A50" s="1019" t="str">
        <f>Ts!H4&amp;Ts!K4</f>
        <v>CÔNG TRÌNH: NHÀ 01 TẦNG, TƯỜNG CHỊU LỰC 110MM, MÁI LỢP FIBRÔXIMĂNG, KHÔNG CÓ KHU VỆ SINH KHÉP KÍN</v>
      </c>
      <c r="B50" s="186"/>
      <c r="C50" s="186"/>
      <c r="D50" s="107"/>
      <c r="E50" s="107"/>
      <c r="F50" s="512"/>
      <c r="G50" s="887"/>
      <c r="H50" s="512"/>
      <c r="I50" s="512"/>
      <c r="J50" s="108"/>
      <c r="K50" s="107"/>
      <c r="L50" s="107"/>
      <c r="M50" s="480"/>
      <c r="N50" s="486"/>
      <c r="O50" s="508"/>
      <c r="P50" s="486"/>
      <c r="Q50" s="486"/>
      <c r="R50" s="486"/>
      <c r="S50" s="486"/>
      <c r="T50" s="486"/>
      <c r="U50" s="486"/>
      <c r="V50" s="486"/>
      <c r="W50" s="486"/>
      <c r="X50" s="486"/>
      <c r="Y50" s="486"/>
      <c r="Z50" s="486"/>
      <c r="AA50" s="486"/>
      <c r="AB50" s="486"/>
      <c r="AC50" s="486"/>
      <c r="AD50" s="486"/>
      <c r="AE50" s="486"/>
      <c r="AF50" s="486"/>
      <c r="AG50" s="486"/>
      <c r="AH50" s="486"/>
      <c r="AI50" s="486"/>
      <c r="AJ50" s="486"/>
    </row>
    <row r="51" spans="1:36" ht="18.75">
      <c r="A51" s="1019" t="str">
        <f>'TH vat tu XD'!A103</f>
        <v>HẠNG MỤC: HỆ KÉT CẤU MÁI</v>
      </c>
      <c r="B51" s="187"/>
      <c r="C51" s="190"/>
      <c r="D51" s="109"/>
      <c r="E51" s="109"/>
      <c r="F51" s="109"/>
      <c r="G51" s="881"/>
      <c r="H51" s="109"/>
      <c r="I51" s="109"/>
      <c r="J51" s="110"/>
      <c r="K51" s="109"/>
      <c r="L51" s="109"/>
      <c r="M51" s="481"/>
      <c r="N51" s="160"/>
      <c r="O51" s="509"/>
      <c r="P51" s="160"/>
      <c r="Q51" s="160"/>
      <c r="R51" s="160"/>
      <c r="S51" s="160"/>
      <c r="T51" s="160"/>
      <c r="U51" s="160"/>
      <c r="V51" s="160"/>
      <c r="W51" s="160"/>
      <c r="X51" s="160"/>
      <c r="Y51" s="160"/>
      <c r="Z51" s="160"/>
      <c r="AA51" s="160"/>
      <c r="AB51" s="160"/>
      <c r="AC51" s="160"/>
      <c r="AD51" s="160"/>
      <c r="AE51" s="160"/>
      <c r="AF51" s="160"/>
      <c r="AG51" s="160"/>
      <c r="AH51" s="160"/>
      <c r="AI51" s="160"/>
      <c r="AJ51" s="160"/>
    </row>
    <row r="52" spans="1:36" ht="18.75">
      <c r="A52" s="111"/>
      <c r="B52" s="188"/>
      <c r="C52" s="191"/>
      <c r="D52" s="111"/>
      <c r="E52" s="111"/>
      <c r="F52" s="111"/>
      <c r="G52" s="882"/>
      <c r="H52" s="111"/>
      <c r="I52" s="111"/>
      <c r="J52" s="492"/>
      <c r="K52" s="495"/>
      <c r="L52" s="111"/>
      <c r="M52" s="482"/>
      <c r="N52" s="161"/>
      <c r="O52" s="510"/>
      <c r="P52" s="489"/>
      <c r="Q52" s="161"/>
      <c r="R52" s="161"/>
      <c r="S52" s="161"/>
      <c r="T52" s="161"/>
      <c r="U52" s="161"/>
      <c r="V52" s="162" t="s">
        <v>311</v>
      </c>
      <c r="W52" s="489"/>
      <c r="X52" s="489"/>
      <c r="Y52" s="489"/>
      <c r="Z52" s="489"/>
      <c r="AA52" s="489"/>
      <c r="AB52" s="489"/>
      <c r="AC52" s="489"/>
      <c r="AD52" s="489"/>
      <c r="AE52" s="489"/>
      <c r="AF52" s="489"/>
      <c r="AG52" s="489"/>
      <c r="AH52" s="489"/>
      <c r="AI52" s="489"/>
      <c r="AJ52" s="162" t="s">
        <v>311</v>
      </c>
    </row>
    <row r="53" spans="1:36" ht="80.099999999999994" customHeight="1">
      <c r="A53" s="2592" t="s">
        <v>196</v>
      </c>
      <c r="B53" s="2592" t="s">
        <v>135</v>
      </c>
      <c r="C53" s="2592" t="s">
        <v>236</v>
      </c>
      <c r="D53" s="2592" t="s">
        <v>237</v>
      </c>
      <c r="E53" s="2592" t="s">
        <v>478</v>
      </c>
      <c r="F53" s="2598" t="s">
        <v>233</v>
      </c>
      <c r="G53" s="2599"/>
      <c r="H53" s="2599"/>
      <c r="I53" s="2600"/>
      <c r="J53" s="2594" t="s">
        <v>624</v>
      </c>
      <c r="K53" s="2595"/>
      <c r="L53" s="2602" t="s">
        <v>241</v>
      </c>
      <c r="M53" s="2608" t="s">
        <v>479</v>
      </c>
      <c r="N53" s="2604" t="s">
        <v>480</v>
      </c>
      <c r="O53" s="2602" t="s">
        <v>238</v>
      </c>
      <c r="P53" s="2586" t="s">
        <v>235</v>
      </c>
      <c r="Q53" s="2604" t="s">
        <v>685</v>
      </c>
      <c r="R53" s="2604" t="s">
        <v>686</v>
      </c>
      <c r="S53" s="2604" t="s">
        <v>687</v>
      </c>
      <c r="T53" s="2604" t="s">
        <v>688</v>
      </c>
      <c r="U53" s="2604" t="s">
        <v>689</v>
      </c>
      <c r="V53" s="2604" t="s">
        <v>690</v>
      </c>
      <c r="W53" s="2610"/>
      <c r="X53" s="2611"/>
      <c r="Y53" s="2612"/>
      <c r="Z53" s="2607" t="s">
        <v>243</v>
      </c>
      <c r="AA53" s="2607" t="s">
        <v>239</v>
      </c>
      <c r="AB53" s="2607"/>
      <c r="AC53" s="2613"/>
      <c r="AD53" s="2607" t="s">
        <v>151</v>
      </c>
      <c r="AE53" s="2606" t="s">
        <v>240</v>
      </c>
      <c r="AF53" s="2606" t="s">
        <v>242</v>
      </c>
      <c r="AG53" s="2606"/>
      <c r="AH53" s="2606"/>
      <c r="AI53" s="2606"/>
      <c r="AJ53" s="2601" t="s">
        <v>700</v>
      </c>
    </row>
    <row r="54" spans="1:36" ht="47.25">
      <c r="A54" s="2593"/>
      <c r="B54" s="2593"/>
      <c r="C54" s="2593"/>
      <c r="D54" s="2593"/>
      <c r="E54" s="2593"/>
      <c r="F54" s="1052" t="s">
        <v>148</v>
      </c>
      <c r="G54" s="1053" t="s">
        <v>626</v>
      </c>
      <c r="H54" s="1052" t="s">
        <v>149</v>
      </c>
      <c r="I54" s="1052" t="s">
        <v>234</v>
      </c>
      <c r="J54" s="2596"/>
      <c r="K54" s="2597"/>
      <c r="L54" s="2603"/>
      <c r="M54" s="2609"/>
      <c r="N54" s="2605"/>
      <c r="O54" s="2603"/>
      <c r="P54" s="2587"/>
      <c r="Q54" s="2605"/>
      <c r="R54" s="2605"/>
      <c r="S54" s="2605"/>
      <c r="T54" s="2605"/>
      <c r="U54" s="2605"/>
      <c r="V54" s="2605"/>
      <c r="W54" s="1049"/>
      <c r="X54" s="1049"/>
      <c r="Y54" s="1049"/>
      <c r="Z54" s="2607"/>
      <c r="AA54" s="2607"/>
      <c r="AB54" s="2607"/>
      <c r="AC54" s="2614"/>
      <c r="AD54" s="2607"/>
      <c r="AE54" s="2606"/>
      <c r="AF54" s="2606"/>
      <c r="AG54" s="2606"/>
      <c r="AH54" s="2606"/>
      <c r="AI54" s="2606"/>
      <c r="AJ54" s="2601"/>
    </row>
    <row r="55" spans="1:36" ht="31.5">
      <c r="A55" s="2393">
        <v>1</v>
      </c>
      <c r="B55" s="2393" t="s">
        <v>1956</v>
      </c>
      <c r="C55" s="2394" t="s">
        <v>2104</v>
      </c>
      <c r="D55" s="2395">
        <v>250</v>
      </c>
      <c r="E55" s="2396"/>
      <c r="F55" s="2395">
        <v>9</v>
      </c>
      <c r="G55" s="2397">
        <f>IF(P55&lt;30000000, 0, 0.1)</f>
        <v>0.1</v>
      </c>
      <c r="H55" s="2395">
        <v>4.5</v>
      </c>
      <c r="I55" s="2395">
        <v>5</v>
      </c>
      <c r="J55" s="2398">
        <v>36</v>
      </c>
      <c r="K55" s="2399" t="s">
        <v>2087</v>
      </c>
      <c r="L55" s="2395">
        <v>1.03</v>
      </c>
      <c r="M55" s="2400"/>
      <c r="N55" s="2401"/>
      <c r="O55" s="2393" t="s">
        <v>2105</v>
      </c>
      <c r="P55" s="2401">
        <v>1085398000</v>
      </c>
      <c r="Q55" s="2402">
        <f>IFERROR(ROUND((P55-P55*G55)*F55%/D55,0),0)</f>
        <v>351669</v>
      </c>
      <c r="R55" s="2402">
        <f>IFERROR(ROUND(P55*H55%/D55,0),0)</f>
        <v>195372</v>
      </c>
      <c r="S55" s="2402">
        <f>ROUND(J55*AM3*L55,0)</f>
        <v>629686</v>
      </c>
      <c r="T55" s="2402">
        <f>'Tho lai may'!H13+'Tho lai may'!H14</f>
        <v>0</v>
      </c>
      <c r="U55" s="2402">
        <f>IFERROR(ROUND(P55*I55%/D55,0),0)</f>
        <v>217080</v>
      </c>
      <c r="V55" s="2402">
        <f>Q55+R55+S55+T55+U55</f>
        <v>1393807</v>
      </c>
      <c r="W55" s="2401"/>
      <c r="X55" s="2401"/>
      <c r="Y55" s="2401"/>
      <c r="Z55" s="2401"/>
      <c r="AA55" s="2401"/>
      <c r="AB55" s="2401"/>
      <c r="AC55" s="2401"/>
      <c r="AD55" s="2401"/>
      <c r="AE55" s="2401"/>
      <c r="AF55" s="2401"/>
      <c r="AG55" s="2401"/>
      <c r="AH55" s="2401"/>
      <c r="AI55" s="2401"/>
      <c r="AJ55" s="2401"/>
    </row>
    <row r="56" spans="1:36" ht="31.5">
      <c r="A56" s="2403">
        <v>2</v>
      </c>
      <c r="B56" s="2403" t="s">
        <v>1896</v>
      </c>
      <c r="C56" s="2404" t="s">
        <v>2100</v>
      </c>
      <c r="D56" s="2405">
        <v>200</v>
      </c>
      <c r="E56" s="2406"/>
      <c r="F56" s="2405">
        <v>21</v>
      </c>
      <c r="G56" s="2407">
        <f>IF(P56&lt;30000000, 0, 0.1)</f>
        <v>0</v>
      </c>
      <c r="H56" s="2405">
        <v>4.8</v>
      </c>
      <c r="I56" s="2405">
        <v>5</v>
      </c>
      <c r="J56" s="2408">
        <v>48</v>
      </c>
      <c r="K56" s="2409" t="s">
        <v>2097</v>
      </c>
      <c r="L56" s="2405">
        <v>1.05</v>
      </c>
      <c r="M56" s="2410"/>
      <c r="N56" s="2411"/>
      <c r="O56" s="2403" t="s">
        <v>2088</v>
      </c>
      <c r="P56" s="2411">
        <v>16000000</v>
      </c>
      <c r="Q56" s="2412">
        <f>IFERROR(ROUND((P56-P56*G56)*F56%/D56,0),0)</f>
        <v>16800</v>
      </c>
      <c r="R56" s="2412">
        <f>IFERROR(ROUND(P56*H56%/D56,0),0)</f>
        <v>3840</v>
      </c>
      <c r="S56" s="2412">
        <f>ROUND(J56*AN3*L56,0)</f>
        <v>95558</v>
      </c>
      <c r="T56" s="2412">
        <f>'Tho lai may'!H13</f>
        <v>0</v>
      </c>
      <c r="U56" s="2412">
        <f>IFERROR(ROUND(P56*I56%/D56,0),0)</f>
        <v>4000</v>
      </c>
      <c r="V56" s="2412">
        <f>Q56+R56+S56+T56+U56</f>
        <v>120198</v>
      </c>
      <c r="W56" s="2411"/>
      <c r="X56" s="2411"/>
      <c r="Y56" s="2411"/>
      <c r="Z56" s="2411"/>
      <c r="AA56" s="2411"/>
      <c r="AB56" s="2411"/>
      <c r="AC56" s="2411"/>
      <c r="AD56" s="2411"/>
      <c r="AE56" s="2411"/>
      <c r="AF56" s="2411"/>
      <c r="AG56" s="2411"/>
      <c r="AH56" s="2411"/>
      <c r="AI56" s="2411"/>
      <c r="AJ56" s="2411"/>
    </row>
    <row r="57" spans="1:36">
      <c r="A57" s="2405"/>
      <c r="B57" s="2405"/>
      <c r="C57" s="2413"/>
      <c r="D57" s="2405"/>
      <c r="E57" s="2406"/>
      <c r="F57" s="2405"/>
      <c r="G57" s="2407"/>
      <c r="H57" s="2405"/>
      <c r="I57" s="2405"/>
      <c r="J57" s="2408"/>
      <c r="K57" s="2409"/>
      <c r="L57" s="2405"/>
      <c r="M57" s="2410"/>
      <c r="N57" s="2411"/>
      <c r="O57" s="2403"/>
      <c r="P57" s="2411"/>
      <c r="Q57" s="2411"/>
      <c r="R57" s="2411"/>
      <c r="S57" s="2411"/>
      <c r="T57" s="2411"/>
      <c r="U57" s="2411"/>
      <c r="V57" s="2411"/>
      <c r="W57" s="2411"/>
      <c r="X57" s="2411"/>
      <c r="Y57" s="2411"/>
      <c r="Z57" s="2411"/>
      <c r="AA57" s="2411"/>
      <c r="AB57" s="2411"/>
      <c r="AC57" s="2411"/>
      <c r="AD57" s="2411"/>
      <c r="AE57" s="2411"/>
      <c r="AF57" s="2411"/>
      <c r="AG57" s="2411"/>
      <c r="AH57" s="2411"/>
      <c r="AI57" s="2411"/>
      <c r="AJ57" s="2411"/>
    </row>
    <row r="58" spans="1:36">
      <c r="A58" s="2414"/>
      <c r="B58" s="2414"/>
      <c r="C58" s="2415"/>
      <c r="D58" s="2414"/>
      <c r="E58" s="2416"/>
      <c r="F58" s="2414"/>
      <c r="G58" s="2417"/>
      <c r="H58" s="2414"/>
      <c r="I58" s="2414"/>
      <c r="J58" s="2418"/>
      <c r="K58" s="2419"/>
      <c r="L58" s="2414"/>
      <c r="M58" s="2420"/>
      <c r="N58" s="2421"/>
      <c r="O58" s="2422"/>
      <c r="P58" s="2421"/>
      <c r="Q58" s="2421"/>
      <c r="R58" s="2421"/>
      <c r="S58" s="2421"/>
      <c r="T58" s="2421"/>
      <c r="U58" s="2421"/>
      <c r="V58" s="2421"/>
      <c r="W58" s="2421"/>
      <c r="X58" s="2421"/>
      <c r="Y58" s="2421"/>
      <c r="Z58" s="2421"/>
      <c r="AA58" s="2421"/>
      <c r="AB58" s="2421"/>
      <c r="AC58" s="2421"/>
      <c r="AD58" s="2421"/>
      <c r="AE58" s="2421"/>
      <c r="AF58" s="2421"/>
      <c r="AG58" s="2421"/>
      <c r="AH58" s="2421"/>
      <c r="AI58" s="2421"/>
      <c r="AJ58" s="2421"/>
    </row>
    <row r="59" spans="1:36" ht="22.5">
      <c r="A59" s="256" t="s">
        <v>183</v>
      </c>
      <c r="B59" s="185"/>
      <c r="C59" s="189"/>
      <c r="D59" s="105"/>
      <c r="E59" s="105"/>
      <c r="F59" s="105"/>
      <c r="G59" s="886"/>
      <c r="H59" s="105"/>
      <c r="I59" s="105"/>
      <c r="J59" s="106"/>
      <c r="K59" s="105"/>
      <c r="L59" s="105"/>
      <c r="M59" s="479"/>
      <c r="N59" s="485"/>
      <c r="O59" s="448"/>
      <c r="P59" s="485"/>
      <c r="Q59" s="485"/>
      <c r="R59" s="485"/>
      <c r="S59" s="485"/>
      <c r="T59" s="485"/>
      <c r="U59" s="485"/>
      <c r="V59" s="485"/>
      <c r="W59" s="485"/>
      <c r="X59" s="485"/>
      <c r="Y59" s="485"/>
      <c r="Z59" s="485"/>
      <c r="AA59" s="485"/>
      <c r="AB59" s="485"/>
      <c r="AC59" s="485"/>
      <c r="AD59" s="485"/>
      <c r="AE59" s="485"/>
      <c r="AF59" s="485"/>
      <c r="AG59" s="485"/>
      <c r="AH59" s="485"/>
      <c r="AI59" s="485"/>
      <c r="AJ59" s="485"/>
    </row>
    <row r="60" spans="1:36" ht="18.75">
      <c r="A60" s="1019" t="str">
        <f>Ts!H4&amp;Ts!K4</f>
        <v>CÔNG TRÌNH: NHÀ 01 TẦNG, TƯỜNG CHỊU LỰC 110MM, MÁI LỢP FIBRÔXIMĂNG, KHÔNG CÓ KHU VỆ SINH KHÉP KÍN</v>
      </c>
      <c r="B60" s="186"/>
      <c r="C60" s="186"/>
      <c r="D60" s="107"/>
      <c r="E60" s="107"/>
      <c r="F60" s="512"/>
      <c r="G60" s="887"/>
      <c r="H60" s="512"/>
      <c r="I60" s="512"/>
      <c r="J60" s="108"/>
      <c r="K60" s="107"/>
      <c r="L60" s="107"/>
      <c r="M60" s="480"/>
      <c r="N60" s="486"/>
      <c r="O60" s="508"/>
      <c r="P60" s="486"/>
      <c r="Q60" s="486"/>
      <c r="R60" s="486"/>
      <c r="S60" s="486"/>
      <c r="T60" s="486"/>
      <c r="U60" s="486"/>
      <c r="V60" s="486"/>
      <c r="W60" s="486"/>
      <c r="X60" s="486"/>
      <c r="Y60" s="486"/>
      <c r="Z60" s="486"/>
      <c r="AA60" s="486"/>
      <c r="AB60" s="486"/>
      <c r="AC60" s="486"/>
      <c r="AD60" s="486"/>
      <c r="AE60" s="486"/>
      <c r="AF60" s="486"/>
      <c r="AG60" s="486"/>
      <c r="AH60" s="486"/>
      <c r="AI60" s="486"/>
      <c r="AJ60" s="486"/>
    </row>
    <row r="61" spans="1:36" ht="18.75">
      <c r="A61" s="1019" t="str">
        <f>'TH vat tu XD'!A125</f>
        <v>HẠNG MỤC: PHẦN HOÀN THIỆN</v>
      </c>
      <c r="B61" s="187"/>
      <c r="C61" s="190"/>
      <c r="D61" s="109"/>
      <c r="E61" s="109"/>
      <c r="F61" s="109"/>
      <c r="G61" s="881"/>
      <c r="H61" s="109"/>
      <c r="I61" s="109"/>
      <c r="J61" s="110"/>
      <c r="K61" s="109"/>
      <c r="L61" s="109"/>
      <c r="M61" s="481"/>
      <c r="N61" s="160"/>
      <c r="O61" s="509"/>
      <c r="P61" s="160"/>
      <c r="Q61" s="160"/>
      <c r="R61" s="160"/>
      <c r="S61" s="160"/>
      <c r="T61" s="160"/>
      <c r="U61" s="160"/>
      <c r="V61" s="160"/>
      <c r="W61" s="160"/>
      <c r="X61" s="160"/>
      <c r="Y61" s="160"/>
      <c r="Z61" s="160"/>
      <c r="AA61" s="160"/>
      <c r="AB61" s="160"/>
      <c r="AC61" s="160"/>
      <c r="AD61" s="160"/>
      <c r="AE61" s="160"/>
      <c r="AF61" s="160"/>
      <c r="AG61" s="160"/>
      <c r="AH61" s="160"/>
      <c r="AI61" s="160"/>
      <c r="AJ61" s="160"/>
    </row>
    <row r="62" spans="1:36" ht="18.75">
      <c r="A62" s="111"/>
      <c r="B62" s="188"/>
      <c r="C62" s="191"/>
      <c r="D62" s="111"/>
      <c r="E62" s="111"/>
      <c r="F62" s="111"/>
      <c r="G62" s="882"/>
      <c r="H62" s="111"/>
      <c r="I62" s="111"/>
      <c r="J62" s="492"/>
      <c r="K62" s="495"/>
      <c r="L62" s="111"/>
      <c r="M62" s="482"/>
      <c r="N62" s="161"/>
      <c r="O62" s="510"/>
      <c r="P62" s="489"/>
      <c r="Q62" s="161"/>
      <c r="R62" s="161"/>
      <c r="S62" s="161"/>
      <c r="T62" s="161"/>
      <c r="U62" s="161"/>
      <c r="V62" s="162" t="s">
        <v>311</v>
      </c>
      <c r="W62" s="489"/>
      <c r="X62" s="489"/>
      <c r="Y62" s="489"/>
      <c r="Z62" s="489"/>
      <c r="AA62" s="489"/>
      <c r="AB62" s="489"/>
      <c r="AC62" s="489"/>
      <c r="AD62" s="489"/>
      <c r="AE62" s="489"/>
      <c r="AF62" s="489"/>
      <c r="AG62" s="489"/>
      <c r="AH62" s="489"/>
      <c r="AI62" s="489"/>
      <c r="AJ62" s="162" t="s">
        <v>311</v>
      </c>
    </row>
    <row r="63" spans="1:36" ht="80.099999999999994" customHeight="1">
      <c r="A63" s="2592" t="s">
        <v>196</v>
      </c>
      <c r="B63" s="2592" t="s">
        <v>135</v>
      </c>
      <c r="C63" s="2592" t="s">
        <v>236</v>
      </c>
      <c r="D63" s="2592" t="s">
        <v>237</v>
      </c>
      <c r="E63" s="2592" t="s">
        <v>478</v>
      </c>
      <c r="F63" s="2598" t="s">
        <v>233</v>
      </c>
      <c r="G63" s="2599"/>
      <c r="H63" s="2599"/>
      <c r="I63" s="2600"/>
      <c r="J63" s="2594" t="s">
        <v>624</v>
      </c>
      <c r="K63" s="2595"/>
      <c r="L63" s="2602" t="s">
        <v>241</v>
      </c>
      <c r="M63" s="2608" t="s">
        <v>479</v>
      </c>
      <c r="N63" s="2604" t="s">
        <v>480</v>
      </c>
      <c r="O63" s="2602" t="s">
        <v>238</v>
      </c>
      <c r="P63" s="2586" t="s">
        <v>235</v>
      </c>
      <c r="Q63" s="2604" t="s">
        <v>685</v>
      </c>
      <c r="R63" s="2604" t="s">
        <v>686</v>
      </c>
      <c r="S63" s="2604" t="s">
        <v>687</v>
      </c>
      <c r="T63" s="2604" t="s">
        <v>688</v>
      </c>
      <c r="U63" s="2604" t="s">
        <v>689</v>
      </c>
      <c r="V63" s="2604" t="s">
        <v>690</v>
      </c>
      <c r="W63" s="2610"/>
      <c r="X63" s="2611"/>
      <c r="Y63" s="2612"/>
      <c r="Z63" s="2607" t="s">
        <v>243</v>
      </c>
      <c r="AA63" s="2607" t="s">
        <v>239</v>
      </c>
      <c r="AB63" s="2607"/>
      <c r="AC63" s="2613"/>
      <c r="AD63" s="2607" t="s">
        <v>151</v>
      </c>
      <c r="AE63" s="2606" t="s">
        <v>240</v>
      </c>
      <c r="AF63" s="2606" t="s">
        <v>242</v>
      </c>
      <c r="AG63" s="2606"/>
      <c r="AH63" s="2606"/>
      <c r="AI63" s="2606"/>
      <c r="AJ63" s="2601" t="s">
        <v>700</v>
      </c>
    </row>
    <row r="64" spans="1:36" ht="47.25">
      <c r="A64" s="2593"/>
      <c r="B64" s="2593"/>
      <c r="C64" s="2593"/>
      <c r="D64" s="2593"/>
      <c r="E64" s="2593"/>
      <c r="F64" s="1052" t="s">
        <v>148</v>
      </c>
      <c r="G64" s="1053" t="s">
        <v>626</v>
      </c>
      <c r="H64" s="1052" t="s">
        <v>149</v>
      </c>
      <c r="I64" s="1052" t="s">
        <v>234</v>
      </c>
      <c r="J64" s="2596"/>
      <c r="K64" s="2597"/>
      <c r="L64" s="2603"/>
      <c r="M64" s="2609"/>
      <c r="N64" s="2605"/>
      <c r="O64" s="2603"/>
      <c r="P64" s="2587"/>
      <c r="Q64" s="2605"/>
      <c r="R64" s="2605"/>
      <c r="S64" s="2605"/>
      <c r="T64" s="2605"/>
      <c r="U64" s="2605"/>
      <c r="V64" s="2605"/>
      <c r="W64" s="1049"/>
      <c r="X64" s="1049"/>
      <c r="Y64" s="1049"/>
      <c r="Z64" s="2607"/>
      <c r="AA64" s="2607"/>
      <c r="AB64" s="2607"/>
      <c r="AC64" s="2614"/>
      <c r="AD64" s="2607"/>
      <c r="AE64" s="2606"/>
      <c r="AF64" s="2606"/>
      <c r="AG64" s="2606"/>
      <c r="AH64" s="2606"/>
      <c r="AI64" s="2606"/>
      <c r="AJ64" s="2601"/>
    </row>
    <row r="65" spans="1:36" ht="31.5">
      <c r="A65" s="2393">
        <v>1</v>
      </c>
      <c r="B65" s="2393" t="s">
        <v>2044</v>
      </c>
      <c r="C65" s="2394" t="s">
        <v>2109</v>
      </c>
      <c r="D65" s="2395">
        <v>90</v>
      </c>
      <c r="E65" s="2396"/>
      <c r="F65" s="2395">
        <v>14</v>
      </c>
      <c r="G65" s="2397">
        <f>IF(P65&lt;30000000, 0, 0.1)</f>
        <v>0</v>
      </c>
      <c r="H65" s="2395">
        <v>7</v>
      </c>
      <c r="I65" s="2395">
        <v>4</v>
      </c>
      <c r="J65" s="2398">
        <v>3</v>
      </c>
      <c r="K65" s="2399" t="s">
        <v>2097</v>
      </c>
      <c r="L65" s="2395">
        <v>1.05</v>
      </c>
      <c r="M65" s="2400"/>
      <c r="N65" s="2401"/>
      <c r="O65" s="2393"/>
      <c r="P65" s="2401">
        <v>7900000</v>
      </c>
      <c r="Q65" s="2402">
        <f>IFERROR(ROUND((P65-P65*G65)*F65%/D65,0),0)</f>
        <v>12289</v>
      </c>
      <c r="R65" s="2402">
        <f>IFERROR(ROUND(P65*H65%/D65,0),0)</f>
        <v>6144</v>
      </c>
      <c r="S65" s="2402">
        <f>ROUND(J65*AN3*L65,0)</f>
        <v>5972</v>
      </c>
      <c r="T65" s="2401">
        <v>0</v>
      </c>
      <c r="U65" s="2402">
        <f>IFERROR(ROUND(P65*I65%/D65,0),0)</f>
        <v>3511</v>
      </c>
      <c r="V65" s="2402">
        <f>Q65+R65+S65+T65+U65</f>
        <v>27916</v>
      </c>
      <c r="W65" s="2401"/>
      <c r="X65" s="2401"/>
      <c r="Y65" s="2401"/>
      <c r="Z65" s="2401"/>
      <c r="AA65" s="2401"/>
      <c r="AB65" s="2401"/>
      <c r="AC65" s="2401"/>
      <c r="AD65" s="2401"/>
      <c r="AE65" s="2401"/>
      <c r="AF65" s="2401"/>
      <c r="AG65" s="2401"/>
      <c r="AH65" s="2401"/>
      <c r="AI65" s="2401"/>
      <c r="AJ65" s="2401"/>
    </row>
    <row r="66" spans="1:36" ht="31.5">
      <c r="A66" s="2403">
        <v>2</v>
      </c>
      <c r="B66" s="2403" t="s">
        <v>1868</v>
      </c>
      <c r="C66" s="2404" t="s">
        <v>2101</v>
      </c>
      <c r="D66" s="2405">
        <v>170</v>
      </c>
      <c r="E66" s="2406"/>
      <c r="F66" s="2405">
        <v>19</v>
      </c>
      <c r="G66" s="2407">
        <f>IF(P66&lt;30000000, 0, 0.1)</f>
        <v>0</v>
      </c>
      <c r="H66" s="2405">
        <v>6.8</v>
      </c>
      <c r="I66" s="2405">
        <v>5</v>
      </c>
      <c r="J66" s="2408">
        <v>8</v>
      </c>
      <c r="K66" s="2409" t="s">
        <v>2097</v>
      </c>
      <c r="L66" s="2405">
        <v>1.05</v>
      </c>
      <c r="M66" s="2410"/>
      <c r="N66" s="2411"/>
      <c r="O66" s="2403" t="s">
        <v>2083</v>
      </c>
      <c r="P66" s="2411">
        <v>17828000</v>
      </c>
      <c r="Q66" s="2412">
        <f>IFERROR(ROUND((P66-P66*G66)*F66%/D66,0),0)</f>
        <v>19925</v>
      </c>
      <c r="R66" s="2412">
        <f>IFERROR(ROUND(P66*H66%/D66,0),0)</f>
        <v>7131</v>
      </c>
      <c r="S66" s="2412">
        <f>ROUND(J66*AN3*L66,0)</f>
        <v>15926</v>
      </c>
      <c r="T66" s="2412">
        <f>'Tho lai may'!H12</f>
        <v>0</v>
      </c>
      <c r="U66" s="2412">
        <f>IFERROR(ROUND(P66*I66%/D66,0),0)</f>
        <v>5244</v>
      </c>
      <c r="V66" s="2412">
        <f>Q66+R66+S66+T66+U66</f>
        <v>48226</v>
      </c>
      <c r="W66" s="2411"/>
      <c r="X66" s="2411"/>
      <c r="Y66" s="2411"/>
      <c r="Z66" s="2411"/>
      <c r="AA66" s="2411"/>
      <c r="AB66" s="2411"/>
      <c r="AC66" s="2411"/>
      <c r="AD66" s="2411"/>
      <c r="AE66" s="2411"/>
      <c r="AF66" s="2411"/>
      <c r="AG66" s="2411"/>
      <c r="AH66" s="2411"/>
      <c r="AI66" s="2411"/>
      <c r="AJ66" s="2411"/>
    </row>
    <row r="67" spans="1:36">
      <c r="A67" s="2405"/>
      <c r="B67" s="2405"/>
      <c r="C67" s="2413"/>
      <c r="D67" s="2405"/>
      <c r="E67" s="2406"/>
      <c r="F67" s="2405"/>
      <c r="G67" s="2407"/>
      <c r="H67" s="2405"/>
      <c r="I67" s="2405"/>
      <c r="J67" s="2408"/>
      <c r="K67" s="2409"/>
      <c r="L67" s="2405"/>
      <c r="M67" s="2410"/>
      <c r="N67" s="2411"/>
      <c r="O67" s="2403"/>
      <c r="P67" s="2411"/>
      <c r="Q67" s="2411"/>
      <c r="R67" s="2411"/>
      <c r="S67" s="2411"/>
      <c r="T67" s="2411"/>
      <c r="U67" s="2411"/>
      <c r="V67" s="2411"/>
      <c r="W67" s="2411"/>
      <c r="X67" s="2411"/>
      <c r="Y67" s="2411"/>
      <c r="Z67" s="2411"/>
      <c r="AA67" s="2411"/>
      <c r="AB67" s="2411"/>
      <c r="AC67" s="2411"/>
      <c r="AD67" s="2411"/>
      <c r="AE67" s="2411"/>
      <c r="AF67" s="2411"/>
      <c r="AG67" s="2411"/>
      <c r="AH67" s="2411"/>
      <c r="AI67" s="2411"/>
      <c r="AJ67" s="2411"/>
    </row>
    <row r="68" spans="1:36">
      <c r="A68" s="2414"/>
      <c r="B68" s="2414"/>
      <c r="C68" s="2415"/>
      <c r="D68" s="2414"/>
      <c r="E68" s="2416"/>
      <c r="F68" s="2414"/>
      <c r="G68" s="2417"/>
      <c r="H68" s="2414"/>
      <c r="I68" s="2414"/>
      <c r="J68" s="2418"/>
      <c r="K68" s="2419"/>
      <c r="L68" s="2414"/>
      <c r="M68" s="2420"/>
      <c r="N68" s="2421"/>
      <c r="O68" s="2422"/>
      <c r="P68" s="2421"/>
      <c r="Q68" s="2421"/>
      <c r="R68" s="2421"/>
      <c r="S68" s="2421"/>
      <c r="T68" s="2421"/>
      <c r="U68" s="2421"/>
      <c r="V68" s="2421"/>
      <c r="W68" s="2421"/>
      <c r="X68" s="2421"/>
      <c r="Y68" s="2421"/>
      <c r="Z68" s="2421"/>
      <c r="AA68" s="2421"/>
      <c r="AB68" s="2421"/>
      <c r="AC68" s="2421"/>
      <c r="AD68" s="2421"/>
      <c r="AE68" s="2421"/>
      <c r="AF68" s="2421"/>
      <c r="AG68" s="2421"/>
      <c r="AH68" s="2421"/>
      <c r="AI68" s="2421"/>
      <c r="AJ68" s="2421"/>
    </row>
    <row r="69" spans="1:36" ht="22.5">
      <c r="A69" s="256" t="s">
        <v>183</v>
      </c>
      <c r="B69" s="185"/>
      <c r="C69" s="189"/>
      <c r="D69" s="105"/>
      <c r="E69" s="105"/>
      <c r="F69" s="105"/>
      <c r="G69" s="886"/>
      <c r="H69" s="105"/>
      <c r="I69" s="105"/>
      <c r="J69" s="106"/>
      <c r="K69" s="105"/>
      <c r="L69" s="105"/>
      <c r="M69" s="479"/>
      <c r="N69" s="485"/>
      <c r="O69" s="448"/>
      <c r="P69" s="485"/>
      <c r="Q69" s="485"/>
      <c r="R69" s="485"/>
      <c r="S69" s="485"/>
      <c r="T69" s="485"/>
      <c r="U69" s="485"/>
      <c r="V69" s="485"/>
      <c r="W69" s="485"/>
      <c r="X69" s="485"/>
      <c r="Y69" s="485"/>
      <c r="Z69" s="485"/>
      <c r="AA69" s="485"/>
      <c r="AB69" s="485"/>
      <c r="AC69" s="485"/>
      <c r="AD69" s="485"/>
      <c r="AE69" s="485"/>
      <c r="AF69" s="485"/>
      <c r="AG69" s="485"/>
      <c r="AH69" s="485"/>
      <c r="AI69" s="485"/>
      <c r="AJ69" s="485"/>
    </row>
    <row r="70" spans="1:36" ht="18.75">
      <c r="A70" s="1019" t="str">
        <f>Ts!H4&amp;Ts!K4</f>
        <v>CÔNG TRÌNH: NHÀ 01 TẦNG, TƯỜNG CHỊU LỰC 110MM, MÁI LỢP FIBRÔXIMĂNG, KHÔNG CÓ KHU VỆ SINH KHÉP KÍN</v>
      </c>
      <c r="B70" s="186"/>
      <c r="C70" s="186"/>
      <c r="D70" s="107"/>
      <c r="E70" s="107"/>
      <c r="F70" s="512"/>
      <c r="G70" s="887"/>
      <c r="H70" s="512"/>
      <c r="I70" s="512"/>
      <c r="J70" s="108"/>
      <c r="K70" s="107"/>
      <c r="L70" s="107"/>
      <c r="M70" s="480"/>
      <c r="N70" s="486"/>
      <c r="O70" s="508"/>
      <c r="P70" s="486"/>
      <c r="Q70" s="486"/>
      <c r="R70" s="486"/>
      <c r="S70" s="486"/>
      <c r="T70" s="486"/>
      <c r="U70" s="486"/>
      <c r="V70" s="486"/>
      <c r="W70" s="486"/>
      <c r="X70" s="486"/>
      <c r="Y70" s="486"/>
      <c r="Z70" s="486"/>
      <c r="AA70" s="486"/>
      <c r="AB70" s="486"/>
      <c r="AC70" s="486"/>
      <c r="AD70" s="486"/>
      <c r="AE70" s="486"/>
      <c r="AF70" s="486"/>
      <c r="AG70" s="486"/>
      <c r="AH70" s="486"/>
      <c r="AI70" s="486"/>
      <c r="AJ70" s="486"/>
    </row>
    <row r="71" spans="1:36" ht="18.75">
      <c r="A71" s="1019" t="str">
        <f>'TH vat tu XD'!A152</f>
        <v>HẠNG MỤC: HỆ CỬA</v>
      </c>
      <c r="B71" s="187"/>
      <c r="C71" s="190"/>
      <c r="D71" s="109"/>
      <c r="E71" s="109"/>
      <c r="F71" s="109"/>
      <c r="G71" s="881"/>
      <c r="H71" s="109"/>
      <c r="I71" s="109"/>
      <c r="J71" s="110"/>
      <c r="K71" s="109"/>
      <c r="L71" s="109"/>
      <c r="M71" s="481"/>
      <c r="N71" s="160"/>
      <c r="O71" s="509"/>
      <c r="P71" s="160"/>
      <c r="Q71" s="160"/>
      <c r="R71" s="160"/>
      <c r="S71" s="160"/>
      <c r="T71" s="160"/>
      <c r="U71" s="160"/>
      <c r="V71" s="160"/>
      <c r="W71" s="160"/>
      <c r="X71" s="160"/>
      <c r="Y71" s="160"/>
      <c r="Z71" s="160"/>
      <c r="AA71" s="160"/>
      <c r="AB71" s="160"/>
      <c r="AC71" s="160"/>
      <c r="AD71" s="160"/>
      <c r="AE71" s="160"/>
      <c r="AF71" s="160"/>
      <c r="AG71" s="160"/>
      <c r="AH71" s="160"/>
      <c r="AI71" s="160"/>
      <c r="AJ71" s="160"/>
    </row>
    <row r="72" spans="1:36" ht="18.75">
      <c r="A72" s="111"/>
      <c r="B72" s="188"/>
      <c r="C72" s="191"/>
      <c r="D72" s="111"/>
      <c r="E72" s="111"/>
      <c r="F72" s="111"/>
      <c r="G72" s="882"/>
      <c r="H72" s="111"/>
      <c r="I72" s="111"/>
      <c r="J72" s="492"/>
      <c r="K72" s="495"/>
      <c r="L72" s="111"/>
      <c r="M72" s="482"/>
      <c r="N72" s="161"/>
      <c r="O72" s="510"/>
      <c r="P72" s="489"/>
      <c r="Q72" s="161"/>
      <c r="R72" s="161"/>
      <c r="S72" s="161"/>
      <c r="T72" s="161"/>
      <c r="U72" s="161"/>
      <c r="V72" s="162" t="s">
        <v>311</v>
      </c>
      <c r="W72" s="489"/>
      <c r="X72" s="489"/>
      <c r="Y72" s="489"/>
      <c r="Z72" s="489"/>
      <c r="AA72" s="489"/>
      <c r="AB72" s="489"/>
      <c r="AC72" s="489"/>
      <c r="AD72" s="489"/>
      <c r="AE72" s="489"/>
      <c r="AF72" s="489"/>
      <c r="AG72" s="489"/>
      <c r="AH72" s="489"/>
      <c r="AI72" s="489"/>
      <c r="AJ72" s="162" t="s">
        <v>311</v>
      </c>
    </row>
    <row r="73" spans="1:36" ht="80.099999999999994" customHeight="1">
      <c r="A73" s="2592" t="s">
        <v>196</v>
      </c>
      <c r="B73" s="2592" t="s">
        <v>135</v>
      </c>
      <c r="C73" s="2592" t="s">
        <v>236</v>
      </c>
      <c r="D73" s="2592" t="s">
        <v>237</v>
      </c>
      <c r="E73" s="2592" t="s">
        <v>478</v>
      </c>
      <c r="F73" s="2598" t="s">
        <v>233</v>
      </c>
      <c r="G73" s="2599"/>
      <c r="H73" s="2599"/>
      <c r="I73" s="2600"/>
      <c r="J73" s="2594" t="s">
        <v>624</v>
      </c>
      <c r="K73" s="2595"/>
      <c r="L73" s="2602" t="s">
        <v>241</v>
      </c>
      <c r="M73" s="2608" t="s">
        <v>479</v>
      </c>
      <c r="N73" s="2604" t="s">
        <v>480</v>
      </c>
      <c r="O73" s="2602" t="s">
        <v>238</v>
      </c>
      <c r="P73" s="2586" t="s">
        <v>235</v>
      </c>
      <c r="Q73" s="2604" t="s">
        <v>685</v>
      </c>
      <c r="R73" s="2604" t="s">
        <v>686</v>
      </c>
      <c r="S73" s="2604" t="s">
        <v>687</v>
      </c>
      <c r="T73" s="2604" t="s">
        <v>688</v>
      </c>
      <c r="U73" s="2604" t="s">
        <v>689</v>
      </c>
      <c r="V73" s="2604" t="s">
        <v>690</v>
      </c>
      <c r="W73" s="2610"/>
      <c r="X73" s="2611"/>
      <c r="Y73" s="2612"/>
      <c r="Z73" s="2607" t="s">
        <v>243</v>
      </c>
      <c r="AA73" s="2607" t="s">
        <v>239</v>
      </c>
      <c r="AB73" s="2607"/>
      <c r="AC73" s="2613"/>
      <c r="AD73" s="2607" t="s">
        <v>151</v>
      </c>
      <c r="AE73" s="2606" t="s">
        <v>240</v>
      </c>
      <c r="AF73" s="2606" t="s">
        <v>242</v>
      </c>
      <c r="AG73" s="2606"/>
      <c r="AH73" s="2606"/>
      <c r="AI73" s="2606"/>
      <c r="AJ73" s="2601" t="s">
        <v>700</v>
      </c>
    </row>
    <row r="74" spans="1:36" ht="47.25">
      <c r="A74" s="2593"/>
      <c r="B74" s="2593"/>
      <c r="C74" s="2593"/>
      <c r="D74" s="2593"/>
      <c r="E74" s="2593"/>
      <c r="F74" s="1052" t="s">
        <v>148</v>
      </c>
      <c r="G74" s="1053" t="s">
        <v>626</v>
      </c>
      <c r="H74" s="1052" t="s">
        <v>149</v>
      </c>
      <c r="I74" s="1052" t="s">
        <v>234</v>
      </c>
      <c r="J74" s="2596"/>
      <c r="K74" s="2597"/>
      <c r="L74" s="2603"/>
      <c r="M74" s="2609"/>
      <c r="N74" s="2605"/>
      <c r="O74" s="2603"/>
      <c r="P74" s="2587"/>
      <c r="Q74" s="2605"/>
      <c r="R74" s="2605"/>
      <c r="S74" s="2605"/>
      <c r="T74" s="2605"/>
      <c r="U74" s="2605"/>
      <c r="V74" s="2605"/>
      <c r="W74" s="1049"/>
      <c r="X74" s="1049"/>
      <c r="Y74" s="1049"/>
      <c r="Z74" s="2607"/>
      <c r="AA74" s="2607"/>
      <c r="AB74" s="2607"/>
      <c r="AC74" s="2614"/>
      <c r="AD74" s="2607"/>
      <c r="AE74" s="2606"/>
      <c r="AF74" s="2606"/>
      <c r="AG74" s="2606"/>
      <c r="AH74" s="2606"/>
      <c r="AI74" s="2606"/>
      <c r="AJ74" s="2601"/>
    </row>
    <row r="75" spans="1:36" ht="47.25">
      <c r="A75" s="2393">
        <v>1</v>
      </c>
      <c r="B75" s="2393" t="s">
        <v>1889</v>
      </c>
      <c r="C75" s="2394" t="s">
        <v>2096</v>
      </c>
      <c r="D75" s="2395">
        <v>240</v>
      </c>
      <c r="E75" s="2396"/>
      <c r="F75" s="2395">
        <v>14</v>
      </c>
      <c r="G75" s="2397">
        <f>IF(P75&lt;30000000, 0, 0.1)</f>
        <v>0</v>
      </c>
      <c r="H75" s="2395">
        <v>4.0999999999999996</v>
      </c>
      <c r="I75" s="2395">
        <v>4</v>
      </c>
      <c r="J75" s="2398">
        <v>9</v>
      </c>
      <c r="K75" s="2399" t="s">
        <v>2097</v>
      </c>
      <c r="L75" s="2395">
        <v>1.05</v>
      </c>
      <c r="M75" s="2400"/>
      <c r="N75" s="2401"/>
      <c r="O75" s="2393" t="s">
        <v>2083</v>
      </c>
      <c r="P75" s="2401">
        <v>18200000</v>
      </c>
      <c r="Q75" s="2402">
        <f>IFERROR(ROUND((P75-P75*G75)*F75%/D75,0),0)</f>
        <v>10617</v>
      </c>
      <c r="R75" s="2402">
        <f>IFERROR(ROUND(P75*H75%/D75,0),0)</f>
        <v>3109</v>
      </c>
      <c r="S75" s="2402">
        <f>ROUND(J75*AN3*L75,0)</f>
        <v>17917</v>
      </c>
      <c r="T75" s="2402">
        <f>'Tho lai may'!H12</f>
        <v>0</v>
      </c>
      <c r="U75" s="2402">
        <f>IFERROR(ROUND(P75*I75%/D75,0),0)</f>
        <v>3033</v>
      </c>
      <c r="V75" s="2402">
        <f>Q75+R75+S75+T75+U75</f>
        <v>34676</v>
      </c>
      <c r="W75" s="2401"/>
      <c r="X75" s="2401"/>
      <c r="Y75" s="2401"/>
      <c r="Z75" s="2401"/>
      <c r="AA75" s="2401"/>
      <c r="AB75" s="2401"/>
      <c r="AC75" s="2401"/>
      <c r="AD75" s="2401"/>
      <c r="AE75" s="2401"/>
      <c r="AF75" s="2401"/>
      <c r="AG75" s="2401"/>
      <c r="AH75" s="2401"/>
      <c r="AI75" s="2401"/>
      <c r="AJ75" s="2401"/>
    </row>
    <row r="76" spans="1:36" ht="31.5">
      <c r="A76" s="2403">
        <v>2</v>
      </c>
      <c r="B76" s="2403" t="s">
        <v>1896</v>
      </c>
      <c r="C76" s="2404" t="s">
        <v>2100</v>
      </c>
      <c r="D76" s="2405">
        <v>200</v>
      </c>
      <c r="E76" s="2406"/>
      <c r="F76" s="2405">
        <v>21</v>
      </c>
      <c r="G76" s="2407">
        <f>IF(P76&lt;30000000, 0, 0.1)</f>
        <v>0</v>
      </c>
      <c r="H76" s="2405">
        <v>4.8</v>
      </c>
      <c r="I76" s="2405">
        <v>5</v>
      </c>
      <c r="J76" s="2408">
        <v>48</v>
      </c>
      <c r="K76" s="2409" t="s">
        <v>2097</v>
      </c>
      <c r="L76" s="2405">
        <v>1.05</v>
      </c>
      <c r="M76" s="2410"/>
      <c r="N76" s="2411"/>
      <c r="O76" s="2403" t="s">
        <v>2088</v>
      </c>
      <c r="P76" s="2411">
        <v>16000000</v>
      </c>
      <c r="Q76" s="2412">
        <f>IFERROR(ROUND((P76-P76*G76)*F76%/D76,0),0)</f>
        <v>16800</v>
      </c>
      <c r="R76" s="2412">
        <f>IFERROR(ROUND(P76*H76%/D76,0),0)</f>
        <v>3840</v>
      </c>
      <c r="S76" s="2412">
        <f>ROUND(J76*AN3*L76,0)</f>
        <v>95558</v>
      </c>
      <c r="T76" s="2412">
        <f>'Tho lai may'!H13</f>
        <v>0</v>
      </c>
      <c r="U76" s="2412">
        <f>IFERROR(ROUND(P76*I76%/D76,0),0)</f>
        <v>4000</v>
      </c>
      <c r="V76" s="2412">
        <f>Q76+R76+S76+T76+U76</f>
        <v>120198</v>
      </c>
      <c r="W76" s="2411"/>
      <c r="X76" s="2411"/>
      <c r="Y76" s="2411"/>
      <c r="Z76" s="2411"/>
      <c r="AA76" s="2411"/>
      <c r="AB76" s="2411"/>
      <c r="AC76" s="2411"/>
      <c r="AD76" s="2411"/>
      <c r="AE76" s="2411"/>
      <c r="AF76" s="2411"/>
      <c r="AG76" s="2411"/>
      <c r="AH76" s="2411"/>
      <c r="AI76" s="2411"/>
      <c r="AJ76" s="2411"/>
    </row>
    <row r="77" spans="1:36" ht="31.5">
      <c r="A77" s="2403">
        <v>3</v>
      </c>
      <c r="B77" s="2403" t="s">
        <v>1990</v>
      </c>
      <c r="C77" s="2404" t="s">
        <v>2110</v>
      </c>
      <c r="D77" s="2405">
        <v>230</v>
      </c>
      <c r="E77" s="2406"/>
      <c r="F77" s="2405">
        <v>14</v>
      </c>
      <c r="G77" s="2407">
        <f>IF(P77&lt;30000000, 0, 0.1)</f>
        <v>0</v>
      </c>
      <c r="H77" s="2405">
        <v>4.9000000000000004</v>
      </c>
      <c r="I77" s="2405">
        <v>4</v>
      </c>
      <c r="J77" s="2408">
        <v>4</v>
      </c>
      <c r="K77" s="2409" t="s">
        <v>2097</v>
      </c>
      <c r="L77" s="2405">
        <v>1.05</v>
      </c>
      <c r="M77" s="2410"/>
      <c r="N77" s="2411"/>
      <c r="O77" s="2403"/>
      <c r="P77" s="2411">
        <v>11200000</v>
      </c>
      <c r="Q77" s="2412">
        <f>IFERROR(ROUND((P77-P77*G77)*F77%/D77,0),0)</f>
        <v>6817</v>
      </c>
      <c r="R77" s="2412">
        <f>IFERROR(ROUND(P77*H77%/D77,0),0)</f>
        <v>2386</v>
      </c>
      <c r="S77" s="2412">
        <f>ROUND(J77*AN3*L77,0)</f>
        <v>7963</v>
      </c>
      <c r="T77" s="2411">
        <v>0</v>
      </c>
      <c r="U77" s="2412">
        <f>IFERROR(ROUND(P77*I77%/D77,0),0)</f>
        <v>1948</v>
      </c>
      <c r="V77" s="2412">
        <f>Q77+R77+S77+T77+U77</f>
        <v>19114</v>
      </c>
      <c r="W77" s="2411"/>
      <c r="X77" s="2411"/>
      <c r="Y77" s="2411"/>
      <c r="Z77" s="2411"/>
      <c r="AA77" s="2411"/>
      <c r="AB77" s="2411"/>
      <c r="AC77" s="2411"/>
      <c r="AD77" s="2411"/>
      <c r="AE77" s="2411"/>
      <c r="AF77" s="2411"/>
      <c r="AG77" s="2411"/>
      <c r="AH77" s="2411"/>
      <c r="AI77" s="2411"/>
      <c r="AJ77" s="2411"/>
    </row>
    <row r="78" spans="1:36">
      <c r="A78" s="2405"/>
      <c r="B78" s="2405"/>
      <c r="C78" s="2413"/>
      <c r="D78" s="2405"/>
      <c r="E78" s="2406"/>
      <c r="F78" s="2405"/>
      <c r="G78" s="2407"/>
      <c r="H78" s="2405"/>
      <c r="I78" s="2405"/>
      <c r="J78" s="2408"/>
      <c r="K78" s="2409"/>
      <c r="L78" s="2405"/>
      <c r="M78" s="2410"/>
      <c r="N78" s="2411"/>
      <c r="O78" s="2403"/>
      <c r="P78" s="2411"/>
      <c r="Q78" s="2411"/>
      <c r="R78" s="2411"/>
      <c r="S78" s="2411"/>
      <c r="T78" s="2411"/>
      <c r="U78" s="2411"/>
      <c r="V78" s="2411"/>
      <c r="W78" s="2411"/>
      <c r="X78" s="2411"/>
      <c r="Y78" s="2411"/>
      <c r="Z78" s="2411"/>
      <c r="AA78" s="2411"/>
      <c r="AB78" s="2411"/>
      <c r="AC78" s="2411"/>
      <c r="AD78" s="2411"/>
      <c r="AE78" s="2411"/>
      <c r="AF78" s="2411"/>
      <c r="AG78" s="2411"/>
      <c r="AH78" s="2411"/>
      <c r="AI78" s="2411"/>
      <c r="AJ78" s="2411"/>
    </row>
    <row r="79" spans="1:36">
      <c r="A79" s="2414"/>
      <c r="B79" s="2414"/>
      <c r="C79" s="2415"/>
      <c r="D79" s="2414"/>
      <c r="E79" s="2416"/>
      <c r="F79" s="2414"/>
      <c r="G79" s="2417"/>
      <c r="H79" s="2414"/>
      <c r="I79" s="2414"/>
      <c r="J79" s="2418"/>
      <c r="K79" s="2419"/>
      <c r="L79" s="2414"/>
      <c r="M79" s="2420"/>
      <c r="N79" s="2421"/>
      <c r="O79" s="2422"/>
      <c r="P79" s="2421"/>
      <c r="Q79" s="2421"/>
      <c r="R79" s="2421"/>
      <c r="S79" s="2421"/>
      <c r="T79" s="2421"/>
      <c r="U79" s="2421"/>
      <c r="V79" s="2421"/>
      <c r="W79" s="2421"/>
      <c r="X79" s="2421"/>
      <c r="Y79" s="2421"/>
      <c r="Z79" s="2421"/>
      <c r="AA79" s="2421"/>
      <c r="AB79" s="2421"/>
      <c r="AC79" s="2421"/>
      <c r="AD79" s="2421"/>
      <c r="AE79" s="2421"/>
      <c r="AF79" s="2421"/>
      <c r="AG79" s="2421"/>
      <c r="AH79" s="2421"/>
      <c r="AI79" s="2421"/>
      <c r="AJ79" s="2421"/>
    </row>
    <row r="80" spans="1:36" ht="22.5">
      <c r="A80" s="256" t="s">
        <v>183</v>
      </c>
      <c r="B80" s="185"/>
      <c r="C80" s="189"/>
      <c r="D80" s="105"/>
      <c r="E80" s="105"/>
      <c r="F80" s="105"/>
      <c r="G80" s="886"/>
      <c r="H80" s="105"/>
      <c r="I80" s="105"/>
      <c r="J80" s="106"/>
      <c r="K80" s="105"/>
      <c r="L80" s="105"/>
      <c r="M80" s="479"/>
      <c r="N80" s="485"/>
      <c r="O80" s="448"/>
      <c r="P80" s="485"/>
      <c r="Q80" s="485"/>
      <c r="R80" s="485"/>
      <c r="S80" s="485"/>
      <c r="T80" s="485"/>
      <c r="U80" s="485"/>
      <c r="V80" s="485"/>
      <c r="W80" s="485"/>
      <c r="X80" s="485"/>
      <c r="Y80" s="485"/>
      <c r="Z80" s="485"/>
      <c r="AA80" s="485"/>
      <c r="AB80" s="485"/>
      <c r="AC80" s="485"/>
      <c r="AD80" s="485"/>
      <c r="AE80" s="485"/>
      <c r="AF80" s="485"/>
      <c r="AG80" s="485"/>
      <c r="AH80" s="485"/>
      <c r="AI80" s="485"/>
      <c r="AJ80" s="485"/>
    </row>
    <row r="81" spans="1:36" ht="18.75">
      <c r="A81" s="1019" t="str">
        <f>Ts!H4&amp;Ts!K4</f>
        <v>CÔNG TRÌNH: NHÀ 01 TẦNG, TƯỜNG CHỊU LỰC 110MM, MÁI LỢP FIBRÔXIMĂNG, KHÔNG CÓ KHU VỆ SINH KHÉP KÍN</v>
      </c>
      <c r="B81" s="186"/>
      <c r="C81" s="186"/>
      <c r="D81" s="107"/>
      <c r="E81" s="107"/>
      <c r="F81" s="512"/>
      <c r="G81" s="887"/>
      <c r="H81" s="512"/>
      <c r="I81" s="512"/>
      <c r="J81" s="108"/>
      <c r="K81" s="107"/>
      <c r="L81" s="107"/>
      <c r="M81" s="480"/>
      <c r="N81" s="486"/>
      <c r="O81" s="508"/>
      <c r="P81" s="486"/>
      <c r="Q81" s="486"/>
      <c r="R81" s="486"/>
      <c r="S81" s="486"/>
      <c r="T81" s="486"/>
      <c r="U81" s="486"/>
      <c r="V81" s="486"/>
      <c r="W81" s="486"/>
      <c r="X81" s="486"/>
      <c r="Y81" s="486"/>
      <c r="Z81" s="486"/>
      <c r="AA81" s="486"/>
      <c r="AB81" s="486"/>
      <c r="AC81" s="486"/>
      <c r="AD81" s="486"/>
      <c r="AE81" s="486"/>
      <c r="AF81" s="486"/>
      <c r="AG81" s="486"/>
      <c r="AH81" s="486"/>
      <c r="AI81" s="486"/>
      <c r="AJ81" s="486"/>
    </row>
    <row r="82" spans="1:36" ht="18.75">
      <c r="A82" s="1019" t="str">
        <f>'TH vat tu XD'!A175</f>
        <v>HẠNG MỤC: PHẦN ĐIỆN</v>
      </c>
      <c r="B82" s="187"/>
      <c r="C82" s="190"/>
      <c r="D82" s="109"/>
      <c r="E82" s="109"/>
      <c r="F82" s="109"/>
      <c r="G82" s="881"/>
      <c r="H82" s="109"/>
      <c r="I82" s="109"/>
      <c r="J82" s="110"/>
      <c r="K82" s="109"/>
      <c r="L82" s="109"/>
      <c r="M82" s="481"/>
      <c r="N82" s="160"/>
      <c r="O82" s="509"/>
      <c r="P82" s="160"/>
      <c r="Q82" s="160"/>
      <c r="R82" s="160"/>
      <c r="S82" s="160"/>
      <c r="T82" s="160"/>
      <c r="U82" s="160"/>
      <c r="V82" s="160"/>
      <c r="W82" s="160"/>
      <c r="X82" s="160"/>
      <c r="Y82" s="160"/>
      <c r="Z82" s="160"/>
      <c r="AA82" s="160"/>
      <c r="AB82" s="160"/>
      <c r="AC82" s="160"/>
      <c r="AD82" s="160"/>
      <c r="AE82" s="160"/>
      <c r="AF82" s="160"/>
      <c r="AG82" s="160"/>
      <c r="AH82" s="160"/>
      <c r="AI82" s="160"/>
      <c r="AJ82" s="160"/>
    </row>
    <row r="83" spans="1:36" ht="18.75">
      <c r="A83" s="111"/>
      <c r="B83" s="188"/>
      <c r="C83" s="191"/>
      <c r="D83" s="111"/>
      <c r="E83" s="111"/>
      <c r="F83" s="111"/>
      <c r="G83" s="882"/>
      <c r="H83" s="111"/>
      <c r="I83" s="111"/>
      <c r="J83" s="492"/>
      <c r="K83" s="495"/>
      <c r="L83" s="111"/>
      <c r="M83" s="482"/>
      <c r="N83" s="161"/>
      <c r="O83" s="510"/>
      <c r="P83" s="489"/>
      <c r="Q83" s="161"/>
      <c r="R83" s="161"/>
      <c r="S83" s="161"/>
      <c r="T83" s="161"/>
      <c r="U83" s="161"/>
      <c r="V83" s="162" t="s">
        <v>311</v>
      </c>
      <c r="W83" s="489"/>
      <c r="X83" s="489"/>
      <c r="Y83" s="489"/>
      <c r="Z83" s="489"/>
      <c r="AA83" s="489"/>
      <c r="AB83" s="489"/>
      <c r="AC83" s="489"/>
      <c r="AD83" s="489"/>
      <c r="AE83" s="489"/>
      <c r="AF83" s="489"/>
      <c r="AG83" s="489"/>
      <c r="AH83" s="489"/>
      <c r="AI83" s="489"/>
      <c r="AJ83" s="162" t="s">
        <v>311</v>
      </c>
    </row>
    <row r="84" spans="1:36" ht="80.099999999999994" customHeight="1">
      <c r="A84" s="2592" t="s">
        <v>196</v>
      </c>
      <c r="B84" s="2592" t="s">
        <v>135</v>
      </c>
      <c r="C84" s="2592" t="s">
        <v>236</v>
      </c>
      <c r="D84" s="2592" t="s">
        <v>237</v>
      </c>
      <c r="E84" s="2592" t="s">
        <v>478</v>
      </c>
      <c r="F84" s="2598" t="s">
        <v>233</v>
      </c>
      <c r="G84" s="2599"/>
      <c r="H84" s="2599"/>
      <c r="I84" s="2600"/>
      <c r="J84" s="2594" t="s">
        <v>624</v>
      </c>
      <c r="K84" s="2595"/>
      <c r="L84" s="2602" t="s">
        <v>241</v>
      </c>
      <c r="M84" s="2608" t="s">
        <v>479</v>
      </c>
      <c r="N84" s="2604" t="s">
        <v>480</v>
      </c>
      <c r="O84" s="2602" t="s">
        <v>238</v>
      </c>
      <c r="P84" s="2586" t="s">
        <v>235</v>
      </c>
      <c r="Q84" s="2604" t="s">
        <v>685</v>
      </c>
      <c r="R84" s="2604" t="s">
        <v>686</v>
      </c>
      <c r="S84" s="2604" t="s">
        <v>687</v>
      </c>
      <c r="T84" s="2604" t="s">
        <v>688</v>
      </c>
      <c r="U84" s="2604" t="s">
        <v>689</v>
      </c>
      <c r="V84" s="2604" t="s">
        <v>690</v>
      </c>
      <c r="W84" s="2610"/>
      <c r="X84" s="2611"/>
      <c r="Y84" s="2612"/>
      <c r="Z84" s="2607" t="s">
        <v>243</v>
      </c>
      <c r="AA84" s="2607" t="s">
        <v>239</v>
      </c>
      <c r="AB84" s="2607"/>
      <c r="AC84" s="2613"/>
      <c r="AD84" s="2607" t="s">
        <v>151</v>
      </c>
      <c r="AE84" s="2606" t="s">
        <v>240</v>
      </c>
      <c r="AF84" s="2606" t="s">
        <v>242</v>
      </c>
      <c r="AG84" s="2606"/>
      <c r="AH84" s="2606"/>
      <c r="AI84" s="2606"/>
      <c r="AJ84" s="2601" t="s">
        <v>700</v>
      </c>
    </row>
    <row r="85" spans="1:36" ht="47.25">
      <c r="A85" s="2593"/>
      <c r="B85" s="2593"/>
      <c r="C85" s="2593"/>
      <c r="D85" s="2593"/>
      <c r="E85" s="2593"/>
      <c r="F85" s="1052" t="s">
        <v>148</v>
      </c>
      <c r="G85" s="1053" t="s">
        <v>626</v>
      </c>
      <c r="H85" s="1052" t="s">
        <v>149</v>
      </c>
      <c r="I85" s="1052" t="s">
        <v>234</v>
      </c>
      <c r="J85" s="2596"/>
      <c r="K85" s="2597"/>
      <c r="L85" s="2603"/>
      <c r="M85" s="2609"/>
      <c r="N85" s="2605"/>
      <c r="O85" s="2603"/>
      <c r="P85" s="2587"/>
      <c r="Q85" s="2605"/>
      <c r="R85" s="2605"/>
      <c r="S85" s="2605"/>
      <c r="T85" s="2605"/>
      <c r="U85" s="2605"/>
      <c r="V85" s="2605"/>
      <c r="W85" s="1049"/>
      <c r="X85" s="1049"/>
      <c r="Y85" s="1049"/>
      <c r="Z85" s="2607"/>
      <c r="AA85" s="2607"/>
      <c r="AB85" s="2607"/>
      <c r="AC85" s="2614"/>
      <c r="AD85" s="2607"/>
      <c r="AE85" s="2606"/>
      <c r="AF85" s="2606"/>
      <c r="AG85" s="2606"/>
      <c r="AH85" s="2606"/>
      <c r="AI85" s="2606"/>
      <c r="AJ85" s="2601"/>
    </row>
    <row r="86" spans="1:36" ht="47.25">
      <c r="A86" s="2393">
        <v>1</v>
      </c>
      <c r="B86" s="2393" t="s">
        <v>1998</v>
      </c>
      <c r="C86" s="2394" t="s">
        <v>2111</v>
      </c>
      <c r="D86" s="2395">
        <v>150</v>
      </c>
      <c r="E86" s="2396"/>
      <c r="F86" s="2395">
        <v>30</v>
      </c>
      <c r="G86" s="2397">
        <f>IF(P86&lt;30000000, 0, 0.1)</f>
        <v>0</v>
      </c>
      <c r="H86" s="2395">
        <v>7.5</v>
      </c>
      <c r="I86" s="2395">
        <v>4</v>
      </c>
      <c r="J86" s="2398">
        <v>0.9</v>
      </c>
      <c r="K86" s="2399" t="s">
        <v>2097</v>
      </c>
      <c r="L86" s="2395">
        <v>1.05</v>
      </c>
      <c r="M86" s="2400"/>
      <c r="N86" s="2401"/>
      <c r="O86" s="2393"/>
      <c r="P86" s="2401">
        <v>4800000</v>
      </c>
      <c r="Q86" s="2402">
        <f>IFERROR(ROUND((P86-P86*G86)*F86%/D86,0),0)</f>
        <v>9600</v>
      </c>
      <c r="R86" s="2402">
        <f>IFERROR(ROUND(P86*H86%/D86,0),0)</f>
        <v>2400</v>
      </c>
      <c r="S86" s="2402">
        <f>ROUND(J86*AN3*L86,0)</f>
        <v>1792</v>
      </c>
      <c r="T86" s="2401">
        <v>0</v>
      </c>
      <c r="U86" s="2402">
        <f>IFERROR(ROUND(P86*I86%/D86,0),0)</f>
        <v>1280</v>
      </c>
      <c r="V86" s="2402">
        <f>Q86+R86+S86+T86+U86</f>
        <v>15072</v>
      </c>
      <c r="W86" s="2401"/>
      <c r="X86" s="2401"/>
      <c r="Y86" s="2401"/>
      <c r="Z86" s="2401"/>
      <c r="AA86" s="2401"/>
      <c r="AB86" s="2401"/>
      <c r="AC86" s="2401"/>
      <c r="AD86" s="2401"/>
      <c r="AE86" s="2401"/>
      <c r="AF86" s="2401"/>
      <c r="AG86" s="2401"/>
      <c r="AH86" s="2401"/>
      <c r="AI86" s="2401"/>
      <c r="AJ86" s="2401"/>
    </row>
    <row r="87" spans="1:36">
      <c r="A87" s="2405"/>
      <c r="B87" s="2405"/>
      <c r="C87" s="2413"/>
      <c r="D87" s="2405"/>
      <c r="E87" s="2406"/>
      <c r="F87" s="2405"/>
      <c r="G87" s="2407"/>
      <c r="H87" s="2405"/>
      <c r="I87" s="2405"/>
      <c r="J87" s="2408"/>
      <c r="K87" s="2409"/>
      <c r="L87" s="2405"/>
      <c r="M87" s="2410"/>
      <c r="N87" s="2411"/>
      <c r="O87" s="2403"/>
      <c r="P87" s="2411"/>
      <c r="Q87" s="2411"/>
      <c r="R87" s="2411"/>
      <c r="S87" s="2411"/>
      <c r="T87" s="2411"/>
      <c r="U87" s="2411"/>
      <c r="V87" s="2411"/>
      <c r="W87" s="2411"/>
      <c r="X87" s="2411"/>
      <c r="Y87" s="2411"/>
      <c r="Z87" s="2411"/>
      <c r="AA87" s="2411"/>
      <c r="AB87" s="2411"/>
      <c r="AC87" s="2411"/>
      <c r="AD87" s="2411"/>
      <c r="AE87" s="2411"/>
      <c r="AF87" s="2411"/>
      <c r="AG87" s="2411"/>
      <c r="AH87" s="2411"/>
      <c r="AI87" s="2411"/>
      <c r="AJ87" s="2411"/>
    </row>
    <row r="88" spans="1:36">
      <c r="A88" s="2414"/>
      <c r="B88" s="2414"/>
      <c r="C88" s="2415"/>
      <c r="D88" s="2414"/>
      <c r="E88" s="2416"/>
      <c r="F88" s="2414"/>
      <c r="G88" s="2417"/>
      <c r="H88" s="2414"/>
      <c r="I88" s="2414"/>
      <c r="J88" s="2418"/>
      <c r="K88" s="2419"/>
      <c r="L88" s="2414"/>
      <c r="M88" s="2420"/>
      <c r="N88" s="2421"/>
      <c r="O88" s="2422"/>
      <c r="P88" s="2421"/>
      <c r="Q88" s="2421"/>
      <c r="R88" s="2421"/>
      <c r="S88" s="2421"/>
      <c r="T88" s="2421"/>
      <c r="U88" s="2421"/>
      <c r="V88" s="2421"/>
      <c r="W88" s="2421"/>
      <c r="X88" s="2421"/>
      <c r="Y88" s="2421"/>
      <c r="Z88" s="2421"/>
      <c r="AA88" s="2421"/>
      <c r="AB88" s="2421"/>
      <c r="AC88" s="2421"/>
      <c r="AD88" s="2421"/>
      <c r="AE88" s="2421"/>
      <c r="AF88" s="2421"/>
      <c r="AG88" s="2421"/>
      <c r="AH88" s="2421"/>
      <c r="AI88" s="2421"/>
      <c r="AJ88" s="2421"/>
    </row>
    <row r="89" spans="1:36"/>
  </sheetData>
  <mergeCells count="240">
    <mergeCell ref="AF84:AF85"/>
    <mergeCell ref="AG84:AG85"/>
    <mergeCell ref="AH84:AH85"/>
    <mergeCell ref="AI84:AI85"/>
    <mergeCell ref="AJ84:AJ85"/>
    <mergeCell ref="AA84:AA85"/>
    <mergeCell ref="AB84:AB85"/>
    <mergeCell ref="AC84:AC85"/>
    <mergeCell ref="AD84:AD85"/>
    <mergeCell ref="AE84:AE85"/>
    <mergeCell ref="T84:T85"/>
    <mergeCell ref="U84:U85"/>
    <mergeCell ref="V84:V85"/>
    <mergeCell ref="W84:Y84"/>
    <mergeCell ref="Z84:Z85"/>
    <mergeCell ref="O84:O85"/>
    <mergeCell ref="P84:P85"/>
    <mergeCell ref="Q84:Q85"/>
    <mergeCell ref="R84:R85"/>
    <mergeCell ref="S84:S85"/>
    <mergeCell ref="F84:I84"/>
    <mergeCell ref="J84:K85"/>
    <mergeCell ref="L84:L85"/>
    <mergeCell ref="M84:M85"/>
    <mergeCell ref="N84:N85"/>
    <mergeCell ref="A84:A85"/>
    <mergeCell ref="B84:B85"/>
    <mergeCell ref="C84:C85"/>
    <mergeCell ref="D84:D85"/>
    <mergeCell ref="E84:E85"/>
    <mergeCell ref="AF73:AF74"/>
    <mergeCell ref="AG73:AG74"/>
    <mergeCell ref="AH73:AH74"/>
    <mergeCell ref="AI73:AI74"/>
    <mergeCell ref="AJ73:AJ74"/>
    <mergeCell ref="AA73:AA74"/>
    <mergeCell ref="AB73:AB74"/>
    <mergeCell ref="AC73:AC74"/>
    <mergeCell ref="AD73:AD74"/>
    <mergeCell ref="AE73:AE74"/>
    <mergeCell ref="T73:T74"/>
    <mergeCell ref="U73:U74"/>
    <mergeCell ref="V73:V74"/>
    <mergeCell ref="W73:Y73"/>
    <mergeCell ref="Z73:Z74"/>
    <mergeCell ref="O73:O74"/>
    <mergeCell ref="P73:P74"/>
    <mergeCell ref="Q73:Q74"/>
    <mergeCell ref="R73:R74"/>
    <mergeCell ref="S73:S74"/>
    <mergeCell ref="F73:I73"/>
    <mergeCell ref="J73:K74"/>
    <mergeCell ref="L73:L74"/>
    <mergeCell ref="M73:M74"/>
    <mergeCell ref="N73:N74"/>
    <mergeCell ref="A73:A74"/>
    <mergeCell ref="B73:B74"/>
    <mergeCell ref="C73:C74"/>
    <mergeCell ref="D73:D74"/>
    <mergeCell ref="E73:E74"/>
    <mergeCell ref="AF63:AF64"/>
    <mergeCell ref="AG63:AG64"/>
    <mergeCell ref="AH63:AH64"/>
    <mergeCell ref="AI63:AI64"/>
    <mergeCell ref="AJ63:AJ64"/>
    <mergeCell ref="AA63:AA64"/>
    <mergeCell ref="AB63:AB64"/>
    <mergeCell ref="AC63:AC64"/>
    <mergeCell ref="AD63:AD64"/>
    <mergeCell ref="AE63:AE64"/>
    <mergeCell ref="T63:T64"/>
    <mergeCell ref="U63:U64"/>
    <mergeCell ref="V63:V64"/>
    <mergeCell ref="W63:Y63"/>
    <mergeCell ref="Z63:Z64"/>
    <mergeCell ref="O63:O64"/>
    <mergeCell ref="P63:P64"/>
    <mergeCell ref="Q63:Q64"/>
    <mergeCell ref="R63:R64"/>
    <mergeCell ref="S63:S64"/>
    <mergeCell ref="F63:I63"/>
    <mergeCell ref="J63:K64"/>
    <mergeCell ref="L63:L64"/>
    <mergeCell ref="M63:M64"/>
    <mergeCell ref="N63:N64"/>
    <mergeCell ref="A63:A64"/>
    <mergeCell ref="B63:B64"/>
    <mergeCell ref="C63:C64"/>
    <mergeCell ref="D63:D64"/>
    <mergeCell ref="E63:E64"/>
    <mergeCell ref="AF53:AF54"/>
    <mergeCell ref="AG53:AG54"/>
    <mergeCell ref="AH53:AH54"/>
    <mergeCell ref="AI53:AI54"/>
    <mergeCell ref="AJ53:AJ54"/>
    <mergeCell ref="AA53:AA54"/>
    <mergeCell ref="AB53:AB54"/>
    <mergeCell ref="AC53:AC54"/>
    <mergeCell ref="AD53:AD54"/>
    <mergeCell ref="AE53:AE54"/>
    <mergeCell ref="T53:T54"/>
    <mergeCell ref="U53:U54"/>
    <mergeCell ref="V53:V54"/>
    <mergeCell ref="W53:Y53"/>
    <mergeCell ref="Z53:Z54"/>
    <mergeCell ref="O53:O54"/>
    <mergeCell ref="P53:P54"/>
    <mergeCell ref="Q53:Q54"/>
    <mergeCell ref="R53:R54"/>
    <mergeCell ref="S53:S54"/>
    <mergeCell ref="F53:I53"/>
    <mergeCell ref="J53:K54"/>
    <mergeCell ref="L53:L54"/>
    <mergeCell ref="M53:M54"/>
    <mergeCell ref="N53:N54"/>
    <mergeCell ref="A53:A54"/>
    <mergeCell ref="B53:B54"/>
    <mergeCell ref="C53:C54"/>
    <mergeCell ref="D53:D54"/>
    <mergeCell ref="E53:E54"/>
    <mergeCell ref="AF44:AF45"/>
    <mergeCell ref="AG44:AG45"/>
    <mergeCell ref="AH44:AH45"/>
    <mergeCell ref="AI44:AI45"/>
    <mergeCell ref="AJ44:AJ45"/>
    <mergeCell ref="AA44:AA45"/>
    <mergeCell ref="AB44:AB45"/>
    <mergeCell ref="AC44:AC45"/>
    <mergeCell ref="AD44:AD45"/>
    <mergeCell ref="AE44:AE45"/>
    <mergeCell ref="T44:T45"/>
    <mergeCell ref="U44:U45"/>
    <mergeCell ref="V44:V45"/>
    <mergeCell ref="W44:Y44"/>
    <mergeCell ref="Z44:Z45"/>
    <mergeCell ref="O44:O45"/>
    <mergeCell ref="P44:P45"/>
    <mergeCell ref="Q44:Q45"/>
    <mergeCell ref="R44:R45"/>
    <mergeCell ref="S44:S45"/>
    <mergeCell ref="F44:I44"/>
    <mergeCell ref="J44:K45"/>
    <mergeCell ref="L44:L45"/>
    <mergeCell ref="M44:M45"/>
    <mergeCell ref="N44:N45"/>
    <mergeCell ref="A44:A45"/>
    <mergeCell ref="B44:B45"/>
    <mergeCell ref="C44:C45"/>
    <mergeCell ref="D44:D45"/>
    <mergeCell ref="E44:E45"/>
    <mergeCell ref="A31:A32"/>
    <mergeCell ref="B31:B32"/>
    <mergeCell ref="C31:C32"/>
    <mergeCell ref="D31:D32"/>
    <mergeCell ref="E31:E32"/>
    <mergeCell ref="T31:T32"/>
    <mergeCell ref="U31:U32"/>
    <mergeCell ref="V31:V32"/>
    <mergeCell ref="W31:Y31"/>
    <mergeCell ref="O31:O32"/>
    <mergeCell ref="P31:P32"/>
    <mergeCell ref="Q31:Q32"/>
    <mergeCell ref="R31:R32"/>
    <mergeCell ref="S31:S32"/>
    <mergeCell ref="AH17:AH18"/>
    <mergeCell ref="AI17:AI18"/>
    <mergeCell ref="AJ17:AJ18"/>
    <mergeCell ref="AA17:AA18"/>
    <mergeCell ref="AB17:AB18"/>
    <mergeCell ref="AC17:AC18"/>
    <mergeCell ref="AD17:AD18"/>
    <mergeCell ref="AE17:AE18"/>
    <mergeCell ref="F31:I31"/>
    <mergeCell ref="J31:K32"/>
    <mergeCell ref="L31:L32"/>
    <mergeCell ref="M31:M32"/>
    <mergeCell ref="N31:N32"/>
    <mergeCell ref="Z31:Z32"/>
    <mergeCell ref="AF31:AF32"/>
    <mergeCell ref="AG31:AG32"/>
    <mergeCell ref="AH31:AH32"/>
    <mergeCell ref="AI31:AI32"/>
    <mergeCell ref="AJ31:AJ32"/>
    <mergeCell ref="AA31:AA32"/>
    <mergeCell ref="AB31:AB32"/>
    <mergeCell ref="AC31:AC32"/>
    <mergeCell ref="AD31:AD32"/>
    <mergeCell ref="AE31:AE32"/>
    <mergeCell ref="A17:A18"/>
    <mergeCell ref="B17:B18"/>
    <mergeCell ref="C17:C18"/>
    <mergeCell ref="D17:D18"/>
    <mergeCell ref="E17:E18"/>
    <mergeCell ref="T17:T18"/>
    <mergeCell ref="U17:U18"/>
    <mergeCell ref="V17:V18"/>
    <mergeCell ref="W17:Y17"/>
    <mergeCell ref="O17:O18"/>
    <mergeCell ref="P17:P18"/>
    <mergeCell ref="Q17:Q18"/>
    <mergeCell ref="R17:R18"/>
    <mergeCell ref="S17:S18"/>
    <mergeCell ref="Z5:Z6"/>
    <mergeCell ref="W5:Y5"/>
    <mergeCell ref="AB5:AB6"/>
    <mergeCell ref="V5:V6"/>
    <mergeCell ref="AG5:AG6"/>
    <mergeCell ref="AC5:AC6"/>
    <mergeCell ref="F17:I17"/>
    <mergeCell ref="J17:K18"/>
    <mergeCell ref="L17:L18"/>
    <mergeCell ref="M17:M18"/>
    <mergeCell ref="N17:N18"/>
    <mergeCell ref="Z17:Z18"/>
    <mergeCell ref="AF17:AF18"/>
    <mergeCell ref="AG17:AG18"/>
    <mergeCell ref="A5:A6"/>
    <mergeCell ref="B5:B6"/>
    <mergeCell ref="C5:C6"/>
    <mergeCell ref="D5:D6"/>
    <mergeCell ref="J5:K6"/>
    <mergeCell ref="F5:I5"/>
    <mergeCell ref="E5:E6"/>
    <mergeCell ref="AJ5:AJ6"/>
    <mergeCell ref="L5:L6"/>
    <mergeCell ref="O5:O6"/>
    <mergeCell ref="Q5:Q6"/>
    <mergeCell ref="R5:R6"/>
    <mergeCell ref="T5:T6"/>
    <mergeCell ref="AF5:AF6"/>
    <mergeCell ref="AD5:AD6"/>
    <mergeCell ref="AA5:AA6"/>
    <mergeCell ref="S5:S6"/>
    <mergeCell ref="P5:P6"/>
    <mergeCell ref="AE5:AE6"/>
    <mergeCell ref="N5:N6"/>
    <mergeCell ref="AH5:AH6"/>
    <mergeCell ref="M5:M6"/>
    <mergeCell ref="U5:U6"/>
    <mergeCell ref="AI5:AI6"/>
  </mergeCells>
  <phoneticPr fontId="60" type="noConversion"/>
  <dataValidations count="3">
    <dataValidation allowBlank="1" showInputMessage="1" showErrorMessage="1" prompt="Giá nhiên liệu ở thời điểm hiện tại để tính giá ca máy mới và tính bù giá ca máy." sqref="AK2:AK4"/>
    <dataValidation allowBlank="1" showInputMessage="1" showErrorMessage="1" sqref="B7"/>
    <dataValidation allowBlank="1" showErrorMessage="1" sqref="AL3:AN4"/>
  </dataValidations>
  <printOptions horizontalCentered="1"/>
  <pageMargins left="0.59055118110236227" right="0.19685039370078741" top="0.59055118110236227" bottom="0.59055118110236227" header="0.23622047244094491" footer="0.23622047244094491"/>
  <pageSetup paperSize="9" scale="86" orientation="landscape" blackAndWhite="1" horizontalDpi="300" verticalDpi="300" r:id="rId1"/>
  <headerFooter>
    <oddFooter>&amp;C&amp;P</oddFooter>
  </headerFooter>
  <ignoredErrors>
    <ignoredError sqref="A2" unlockedFormula="1"/>
  </ignoredErrors>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DTXD">
    <tabColor rgb="FFFF0000"/>
  </sheetPr>
  <dimension ref="A1:T7"/>
  <sheetViews>
    <sheetView zoomScaleSheetLayoutView="100" workbookViewId="0">
      <selection activeCell="B7" sqref="B7"/>
    </sheetView>
  </sheetViews>
  <sheetFormatPr defaultColWidth="9" defaultRowHeight="15.75"/>
  <cols>
    <col min="1" max="1" width="5.85546875" style="25" customWidth="1"/>
    <col min="2" max="2" width="10.5703125" style="22" customWidth="1"/>
    <col min="3" max="3" width="32.5703125" style="22" customWidth="1"/>
    <col min="4" max="4" width="6.5703125" style="97" customWidth="1"/>
    <col min="5" max="5" width="11" style="158" customWidth="1"/>
    <col min="6" max="6" width="12.42578125" style="184" customWidth="1"/>
    <col min="7" max="7" width="15.42578125" style="184" customWidth="1"/>
    <col min="8" max="19" width="9" style="98" hidden="1" customWidth="1"/>
    <col min="20" max="26" width="0" style="17" hidden="1" customWidth="1"/>
    <col min="27" max="16384" width="9" style="17"/>
  </cols>
  <sheetData>
    <row r="1" spans="1:20" ht="27.95" customHeight="1">
      <c r="A1" s="257" t="s">
        <v>186</v>
      </c>
      <c r="B1" s="99"/>
      <c r="C1" s="92"/>
      <c r="D1" s="92"/>
      <c r="E1" s="253"/>
      <c r="F1" s="171"/>
      <c r="G1" s="171"/>
    </row>
    <row r="2" spans="1:20"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00"/>
      <c r="C2" s="94"/>
      <c r="D2" s="94"/>
      <c r="E2" s="254"/>
      <c r="F2" s="48"/>
      <c r="G2" s="48"/>
    </row>
    <row r="3" spans="1:20" ht="22.15" customHeight="1">
      <c r="A3" s="1019" t="str">
        <f>'Bia-Dutoan'!D43&amp;'Bia-Dutoan'!E43</f>
        <v>CÔNG TRÌNH: NHÀ 01 TẦNG, TƯỜNG CHỊU LỰC 110MM, MÁI LỢP FIBRÔXIMĂNG, KHÔNG CÓ KHU VỆ SINH KHÉP KÍN</v>
      </c>
      <c r="B3" s="100"/>
      <c r="C3" s="94"/>
      <c r="D3" s="94"/>
      <c r="E3" s="254"/>
      <c r="F3" s="48"/>
      <c r="G3" s="48"/>
    </row>
    <row r="4" spans="1:20">
      <c r="A4" s="17"/>
      <c r="B4" s="96"/>
    </row>
    <row r="5" spans="1:20" s="114" customFormat="1" ht="31.5">
      <c r="A5" s="1047" t="s">
        <v>196</v>
      </c>
      <c r="B5" s="1047" t="s">
        <v>120</v>
      </c>
      <c r="C5" s="1047" t="s">
        <v>121</v>
      </c>
      <c r="D5" s="1047" t="s">
        <v>122</v>
      </c>
      <c r="E5" s="1048" t="s">
        <v>136</v>
      </c>
      <c r="F5" s="1049" t="s">
        <v>123</v>
      </c>
      <c r="G5" s="1049" t="s">
        <v>124</v>
      </c>
      <c r="H5" s="57" t="s">
        <v>265</v>
      </c>
      <c r="I5" s="57" t="s">
        <v>268</v>
      </c>
      <c r="J5" s="57" t="s">
        <v>266</v>
      </c>
      <c r="K5" s="57" t="s">
        <v>267</v>
      </c>
      <c r="L5" s="1005"/>
      <c r="M5" s="1005"/>
      <c r="N5" s="1005"/>
      <c r="O5" s="1005"/>
      <c r="P5" s="1005"/>
      <c r="Q5" s="1005"/>
      <c r="R5" s="1005"/>
      <c r="S5" s="1005"/>
    </row>
    <row r="6" spans="1:20" s="445" customFormat="1">
      <c r="A6" s="911" t="s">
        <v>273</v>
      </c>
      <c r="B6" s="1002" t="s">
        <v>276</v>
      </c>
      <c r="C6" s="1002" t="s">
        <v>277</v>
      </c>
      <c r="D6" s="1002" t="s">
        <v>278</v>
      </c>
      <c r="E6" s="1003" t="s">
        <v>279</v>
      </c>
      <c r="F6" s="1004" t="s">
        <v>280</v>
      </c>
      <c r="G6" s="1004" t="s">
        <v>303</v>
      </c>
      <c r="H6" s="1005"/>
      <c r="I6" s="1005"/>
      <c r="J6" s="1005"/>
      <c r="K6" s="1005"/>
      <c r="L6" s="1005"/>
      <c r="M6" s="1005"/>
      <c r="N6" s="1005"/>
      <c r="O6" s="1005"/>
      <c r="P6" s="1005"/>
      <c r="Q6" s="1005"/>
      <c r="R6" s="1005"/>
      <c r="S6" s="1005"/>
      <c r="T6" s="25"/>
    </row>
    <row r="7" spans="1:20"/>
  </sheetData>
  <phoneticPr fontId="60" type="noConversion"/>
  <dataValidations count="1">
    <dataValidation allowBlank="1" showInputMessage="1" showErrorMessage="1" sqref="B6"/>
  </dataValidations>
  <printOptions horizontalCentered="1"/>
  <pageMargins left="0.39370078740157483" right="0.19685039370078741" top="0.59055118110236227" bottom="0.59055118110236227" header="0.23622047244094491" footer="0.23622047244094491"/>
  <pageSetup paperSize="9" orientation="portrait" blackAndWhite="1" horizontalDpi="300" verticalDpi="300" r:id="rId1"/>
  <headerFooter>
    <oddFooter>&amp;C&amp;P</oddFooter>
  </headerFooter>
  <ignoredErrors>
    <ignoredError sqref="A2:A3" unlockedFormula="1"/>
  </ignoredErrors>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DTXD1">
    <tabColor rgb="FFFFC000"/>
  </sheetPr>
  <dimension ref="A1:N7"/>
  <sheetViews>
    <sheetView zoomScaleSheetLayoutView="100" workbookViewId="0">
      <selection activeCell="B7" sqref="B7"/>
    </sheetView>
  </sheetViews>
  <sheetFormatPr defaultColWidth="9" defaultRowHeight="15.75"/>
  <cols>
    <col min="1" max="1" width="5.85546875" style="25" customWidth="1"/>
    <col min="2" max="2" width="10.5703125" style="22" customWidth="1"/>
    <col min="3" max="3" width="32.5703125" style="22" customWidth="1"/>
    <col min="4" max="4" width="6.5703125" style="97" customWidth="1"/>
    <col min="5" max="5" width="11" style="158" customWidth="1"/>
    <col min="6" max="6" width="12.42578125" style="184" customWidth="1"/>
    <col min="7" max="7" width="15.42578125" style="184" customWidth="1"/>
    <col min="8" max="8" width="6.5703125" style="184" customWidth="1"/>
    <col min="9" max="9" width="23.140625" style="184" customWidth="1"/>
    <col min="10" max="14" width="15.42578125" style="184" customWidth="1"/>
    <col min="15" max="16384" width="9" style="17"/>
  </cols>
  <sheetData>
    <row r="1" spans="1:14" ht="27.95" customHeight="1">
      <c r="A1" s="257" t="s">
        <v>1191</v>
      </c>
      <c r="B1" s="99"/>
      <c r="C1" s="92"/>
      <c r="D1" s="92"/>
      <c r="E1" s="253"/>
      <c r="F1" s="171"/>
      <c r="G1" s="171"/>
      <c r="H1" s="171"/>
      <c r="I1" s="171"/>
      <c r="J1" s="171"/>
      <c r="K1" s="171"/>
      <c r="L1" s="171"/>
      <c r="M1" s="171"/>
      <c r="N1" s="171"/>
    </row>
    <row r="2" spans="1:14"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00"/>
      <c r="C2" s="94"/>
      <c r="D2" s="94"/>
      <c r="E2" s="254"/>
      <c r="F2" s="48"/>
      <c r="G2" s="48"/>
      <c r="H2" s="48"/>
      <c r="I2" s="48"/>
      <c r="J2" s="48"/>
      <c r="K2" s="48"/>
      <c r="L2" s="48"/>
      <c r="M2" s="48"/>
      <c r="N2" s="48"/>
    </row>
    <row r="3" spans="1:14" ht="22.15" customHeight="1">
      <c r="A3" s="1019" t="str">
        <f>'Bia-Dutoan'!D43&amp;'Bia-Dutoan'!E43</f>
        <v>CÔNG TRÌNH: NHÀ 01 TẦNG, TƯỜNG CHỊU LỰC 110MM, MÁI LỢP FIBRÔXIMĂNG, KHÔNG CÓ KHU VỆ SINH KHÉP KÍN</v>
      </c>
      <c r="B3" s="100"/>
      <c r="C3" s="94"/>
      <c r="D3" s="94"/>
      <c r="E3" s="254"/>
      <c r="F3" s="48"/>
      <c r="G3" s="48"/>
      <c r="H3" s="48"/>
      <c r="I3" s="48"/>
      <c r="J3" s="48"/>
      <c r="K3" s="48"/>
      <c r="L3" s="48"/>
      <c r="M3" s="48"/>
      <c r="N3" s="48"/>
    </row>
    <row r="4" spans="1:14">
      <c r="A4" s="17"/>
      <c r="B4" s="96"/>
      <c r="H4" s="1371" t="s">
        <v>1192</v>
      </c>
      <c r="I4" s="1371"/>
      <c r="J4" s="1371"/>
      <c r="K4" s="1371"/>
      <c r="L4" s="1371"/>
      <c r="M4" s="1371"/>
      <c r="N4" s="1371"/>
    </row>
    <row r="5" spans="1:14" s="114" customFormat="1" ht="47.25">
      <c r="A5" s="1047" t="s">
        <v>196</v>
      </c>
      <c r="B5" s="1047" t="s">
        <v>120</v>
      </c>
      <c r="C5" s="1047" t="s">
        <v>121</v>
      </c>
      <c r="D5" s="1047" t="s">
        <v>122</v>
      </c>
      <c r="E5" s="1048" t="s">
        <v>136</v>
      </c>
      <c r="F5" s="1049" t="s">
        <v>123</v>
      </c>
      <c r="G5" s="1049" t="s">
        <v>124</v>
      </c>
      <c r="H5" s="1372" t="s">
        <v>196</v>
      </c>
      <c r="I5" s="1372" t="s">
        <v>1182</v>
      </c>
      <c r="J5" s="1372" t="s">
        <v>1183</v>
      </c>
      <c r="K5" s="1372" t="s">
        <v>1184</v>
      </c>
      <c r="L5" s="1372" t="s">
        <v>1185</v>
      </c>
      <c r="M5" s="1372" t="s">
        <v>1186</v>
      </c>
      <c r="N5" s="1372" t="s">
        <v>1187</v>
      </c>
    </row>
    <row r="6" spans="1:14" s="445" customFormat="1">
      <c r="A6" s="911" t="s">
        <v>273</v>
      </c>
      <c r="B6" s="1002" t="s">
        <v>276</v>
      </c>
      <c r="C6" s="1002" t="s">
        <v>277</v>
      </c>
      <c r="D6" s="1002" t="s">
        <v>278</v>
      </c>
      <c r="E6" s="1003" t="s">
        <v>279</v>
      </c>
      <c r="F6" s="1004" t="s">
        <v>280</v>
      </c>
      <c r="G6" s="1004" t="s">
        <v>303</v>
      </c>
      <c r="H6" s="1004"/>
      <c r="I6" s="1004"/>
      <c r="J6" s="1004" t="s">
        <v>283</v>
      </c>
      <c r="K6" s="1004" t="s">
        <v>1188</v>
      </c>
      <c r="L6" s="1004" t="s">
        <v>1189</v>
      </c>
      <c r="M6" s="1004" t="s">
        <v>293</v>
      </c>
      <c r="N6" s="1004" t="s">
        <v>1190</v>
      </c>
    </row>
    <row r="7" spans="1:14"/>
  </sheetData>
  <dataValidations disablePrompts="1" count="1">
    <dataValidation allowBlank="1" showInputMessage="1" showErrorMessage="1" sqref="B6"/>
  </dataValidations>
  <printOptions horizontalCentered="1"/>
  <pageMargins left="0.39370078740157483" right="0.19685039370078741" top="0.59055118110236227" bottom="0.59055118110236227" header="0.23622047244094491" footer="0.23622047244094491"/>
  <pageSetup paperSize="9" orientation="portrait" blackAndWhite="1" horizontalDpi="300" verticalDpi="300" r:id="rId1"/>
  <headerFooter>
    <oddFooter>&amp;C&amp;P</oddFooter>
  </headerFooter>
  <ignoredErrors>
    <ignoredError sqref="A2:A3" unlockedFormula="1"/>
  </ignoredErrors>
  <legacy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58"/>
  <sheetViews>
    <sheetView showZeros="0" zoomScale="70" zoomScaleNormal="70" workbookViewId="0">
      <selection activeCell="E16" sqref="E16:H16"/>
    </sheetView>
  </sheetViews>
  <sheetFormatPr defaultColWidth="9" defaultRowHeight="15.75"/>
  <cols>
    <col min="1" max="1" width="4.140625" style="4" customWidth="1"/>
    <col min="2" max="2" width="10.42578125" style="4" customWidth="1"/>
    <col min="3" max="3" width="12.42578125" style="4" customWidth="1"/>
    <col min="4" max="4" width="18.5703125" style="4" customWidth="1"/>
    <col min="5" max="6" width="14.5703125" style="4" customWidth="1"/>
    <col min="7" max="7" width="8.140625" style="4" customWidth="1"/>
    <col min="8" max="8" width="7.5703125" style="4" customWidth="1"/>
    <col min="9" max="9" width="4.42578125" style="4" customWidth="1"/>
    <col min="10" max="10" width="4.5703125" style="4" customWidth="1"/>
    <col min="11" max="11" width="5.42578125" style="4" customWidth="1"/>
    <col min="12" max="12" width="4.5703125" style="4" customWidth="1"/>
    <col min="13" max="13" width="4" style="4" customWidth="1"/>
    <col min="14" max="14" width="7.85546875" style="4" customWidth="1"/>
    <col min="15" max="15" width="10.140625" style="4" customWidth="1"/>
    <col min="16" max="16384" width="9" style="4"/>
  </cols>
  <sheetData>
    <row r="1" spans="1:16" ht="16.5" thickTop="1">
      <c r="A1" s="216"/>
      <c r="B1" s="217"/>
      <c r="C1" s="217"/>
      <c r="D1" s="217"/>
      <c r="E1" s="217"/>
      <c r="F1" s="217"/>
      <c r="G1" s="217"/>
      <c r="H1" s="217"/>
      <c r="I1" s="217"/>
      <c r="J1" s="217"/>
      <c r="K1" s="217"/>
      <c r="L1" s="217"/>
      <c r="M1" s="217"/>
      <c r="N1" s="217"/>
      <c r="O1" s="218"/>
    </row>
    <row r="2" spans="1:16" ht="18.75">
      <c r="A2" s="5" t="s">
        <v>198</v>
      </c>
      <c r="B2" s="6"/>
      <c r="C2" s="6"/>
      <c r="D2" s="8"/>
      <c r="E2" s="17"/>
      <c r="F2" s="8" t="s">
        <v>504</v>
      </c>
      <c r="G2" s="47"/>
      <c r="H2" s="47"/>
      <c r="I2" s="47"/>
      <c r="J2" s="47"/>
      <c r="K2" s="47"/>
      <c r="L2" s="47"/>
      <c r="M2" s="47"/>
      <c r="N2" s="101"/>
      <c r="O2" s="219"/>
      <c r="P2" s="13"/>
    </row>
    <row r="3" spans="1:16" ht="18.75">
      <c r="A3" s="7" t="s">
        <v>200</v>
      </c>
      <c r="B3" s="8"/>
      <c r="C3" s="8"/>
      <c r="D3" s="8"/>
      <c r="E3" s="17"/>
      <c r="F3" s="8" t="s">
        <v>201</v>
      </c>
      <c r="G3" s="47"/>
      <c r="H3" s="47"/>
      <c r="I3" s="47"/>
      <c r="J3" s="47"/>
      <c r="K3" s="47"/>
      <c r="L3" s="47"/>
      <c r="M3" s="47"/>
      <c r="N3" s="101"/>
      <c r="O3" s="219"/>
    </row>
    <row r="4" spans="1:16" ht="18.75">
      <c r="A4" s="220"/>
      <c r="B4" s="221"/>
      <c r="C4" s="221"/>
      <c r="D4" s="221"/>
      <c r="E4" s="17"/>
      <c r="F4" s="17"/>
      <c r="G4" s="17"/>
      <c r="H4" s="17"/>
      <c r="I4" s="17"/>
      <c r="J4" s="17"/>
      <c r="K4" s="17"/>
      <c r="L4" s="17"/>
      <c r="M4" s="17"/>
      <c r="N4" s="17"/>
      <c r="O4" s="219"/>
    </row>
    <row r="5" spans="1:16" ht="18.75">
      <c r="A5" s="9" t="s">
        <v>207</v>
      </c>
      <c r="B5" s="9"/>
      <c r="C5" s="9"/>
      <c r="D5" s="221"/>
      <c r="E5" s="17"/>
      <c r="F5" s="17"/>
      <c r="G5" s="17"/>
      <c r="H5" s="17"/>
      <c r="I5" s="17"/>
      <c r="J5" s="17"/>
      <c r="K5" s="17"/>
      <c r="L5" s="17"/>
      <c r="M5" s="17"/>
      <c r="N5" s="17"/>
      <c r="O5" s="219"/>
    </row>
    <row r="6" spans="1:16">
      <c r="A6" s="222"/>
      <c r="B6" s="17"/>
      <c r="C6" s="17"/>
      <c r="D6" s="17"/>
      <c r="E6" s="17"/>
      <c r="F6" s="17"/>
      <c r="G6" s="17"/>
      <c r="H6" s="17"/>
      <c r="I6" s="17"/>
      <c r="J6" s="17"/>
      <c r="K6" s="17"/>
      <c r="L6" s="17"/>
      <c r="M6" s="17"/>
      <c r="N6" s="17"/>
      <c r="O6" s="219"/>
    </row>
    <row r="7" spans="1:16">
      <c r="A7" s="222"/>
      <c r="B7" s="17"/>
      <c r="C7" s="17"/>
      <c r="D7" s="17"/>
      <c r="E7" s="17"/>
      <c r="F7" s="17"/>
      <c r="G7" s="17"/>
      <c r="H7" s="17"/>
      <c r="I7" s="17"/>
      <c r="J7" s="17"/>
      <c r="K7" s="17"/>
      <c r="L7" s="17"/>
      <c r="M7" s="17"/>
      <c r="N7" s="17"/>
      <c r="O7" s="219"/>
    </row>
    <row r="8" spans="1:16">
      <c r="A8" s="222"/>
      <c r="B8" s="17"/>
      <c r="C8" s="17"/>
      <c r="D8" s="17"/>
      <c r="E8" s="17"/>
      <c r="F8" s="17"/>
      <c r="G8" s="17"/>
      <c r="H8" s="17"/>
      <c r="I8" s="17"/>
      <c r="J8" s="17"/>
      <c r="K8" s="17"/>
      <c r="L8" s="17"/>
      <c r="M8" s="17"/>
      <c r="N8" s="17"/>
      <c r="O8" s="219"/>
    </row>
    <row r="9" spans="1:16" ht="33.75" customHeight="1">
      <c r="A9" s="223" t="s">
        <v>536</v>
      </c>
      <c r="B9" s="224"/>
      <c r="C9" s="224"/>
      <c r="D9" s="224"/>
      <c r="E9" s="224"/>
      <c r="F9" s="224"/>
      <c r="G9" s="224"/>
      <c r="H9" s="224"/>
      <c r="I9" s="224"/>
      <c r="J9" s="224"/>
      <c r="K9" s="224"/>
      <c r="L9" s="224"/>
      <c r="M9" s="224"/>
      <c r="N9" s="224"/>
      <c r="O9" s="225"/>
    </row>
    <row r="10" spans="1:16">
      <c r="A10" s="222"/>
      <c r="B10" s="17"/>
      <c r="C10" s="17"/>
      <c r="D10" s="17"/>
      <c r="E10" s="17"/>
      <c r="F10" s="17"/>
      <c r="G10" s="17"/>
      <c r="H10" s="17"/>
      <c r="I10" s="17"/>
      <c r="J10" s="17"/>
      <c r="K10" s="17"/>
      <c r="L10" s="17"/>
      <c r="M10" s="17"/>
      <c r="N10" s="17"/>
      <c r="O10" s="219"/>
    </row>
    <row r="11" spans="1:16" s="13" customFormat="1" ht="24" customHeight="1">
      <c r="A11" s="226"/>
      <c r="B11" s="227"/>
      <c r="C11" s="227"/>
      <c r="D11" s="227" t="s">
        <v>313</v>
      </c>
      <c r="E11" s="227" t="str">
        <f>'Bia-Dutoan'!E11</f>
        <v>ĐIỀU CHỈNH, BỔ SUNG, ĐƠN GIÁ XÂY DỰNG CỦA MỘT SỐ LOẠI CÔNG TRÌNH ĐỂ XÁC ĐỊNH GIÁ TRỊ BỒI
THƯỜNG ĐỐI VỚI NHÀ Ở, CÔNG TRÌNH PHẢI THÁO DỠ KHI NHÀ NƯỚC THU HỒI ĐẤT TRÊN ĐỊA BÀN TỈNH SƠN LA</v>
      </c>
      <c r="F11" s="227"/>
      <c r="G11" s="227"/>
      <c r="H11" s="227"/>
      <c r="I11" s="227"/>
      <c r="J11" s="227"/>
      <c r="K11" s="227"/>
      <c r="L11" s="227"/>
      <c r="M11" s="227"/>
      <c r="N11" s="227"/>
      <c r="O11" s="228"/>
    </row>
    <row r="12" spans="1:16" s="13" customFormat="1" ht="24" customHeight="1">
      <c r="A12" s="226"/>
      <c r="B12" s="227"/>
      <c r="C12" s="227"/>
      <c r="D12" s="227" t="s">
        <v>204</v>
      </c>
      <c r="E12" s="227" t="str">
        <f>UPPER(Ts!K4)</f>
        <v>NHÀ 01 TẦNG, TƯỜNG CHỊU LỰC 110MM, MÁI LỢP FIBRÔXIMĂNG, KHÔNG CÓ KHU VỆ SINH KHÉP KÍN</v>
      </c>
      <c r="F12" s="227"/>
      <c r="G12" s="227"/>
      <c r="H12" s="227"/>
      <c r="I12" s="227"/>
      <c r="J12" s="227"/>
      <c r="K12" s="227"/>
      <c r="L12" s="227"/>
      <c r="M12" s="227"/>
      <c r="N12" s="227"/>
      <c r="O12" s="228"/>
    </row>
    <row r="13" spans="1:16" ht="24" customHeight="1">
      <c r="A13" s="220"/>
      <c r="B13" s="221"/>
      <c r="C13" s="221"/>
      <c r="D13" s="227" t="s">
        <v>205</v>
      </c>
      <c r="E13" s="227" t="str">
        <f>UPPER(Ts!K6)</f>
        <v/>
      </c>
      <c r="F13" s="221"/>
      <c r="G13" s="221"/>
      <c r="H13" s="221"/>
      <c r="I13" s="221"/>
      <c r="J13" s="221"/>
      <c r="K13" s="221"/>
      <c r="L13" s="221"/>
      <c r="M13" s="221"/>
      <c r="N13" s="221"/>
      <c r="O13" s="229"/>
    </row>
    <row r="14" spans="1:16" s="13" customFormat="1" ht="24" customHeight="1">
      <c r="A14" s="226"/>
      <c r="B14" s="227"/>
      <c r="C14" s="227"/>
      <c r="D14" s="227" t="s">
        <v>206</v>
      </c>
      <c r="E14" s="227" t="str">
        <f>UPPER(Ts!K7)</f>
        <v/>
      </c>
      <c r="F14" s="227"/>
      <c r="G14" s="227"/>
      <c r="H14" s="227"/>
      <c r="I14" s="227"/>
      <c r="J14" s="227"/>
      <c r="K14" s="227"/>
      <c r="L14" s="227"/>
      <c r="M14" s="227"/>
      <c r="N14" s="227"/>
      <c r="O14" s="228"/>
    </row>
    <row r="15" spans="1:16" s="13" customFormat="1" ht="18.75">
      <c r="A15" s="226"/>
      <c r="B15" s="227"/>
      <c r="C15" s="227"/>
      <c r="D15" s="227"/>
      <c r="E15" s="227"/>
      <c r="F15" s="227"/>
      <c r="G15" s="227"/>
      <c r="H15" s="227"/>
      <c r="I15" s="227"/>
      <c r="J15" s="227"/>
      <c r="K15" s="227"/>
      <c r="L15" s="227"/>
      <c r="M15" s="227"/>
      <c r="N15" s="227"/>
      <c r="O15" s="228"/>
    </row>
    <row r="16" spans="1:16" s="13" customFormat="1" ht="24" customHeight="1">
      <c r="A16" s="226"/>
      <c r="B16" s="227"/>
      <c r="C16" s="227"/>
      <c r="D16" s="230" t="s">
        <v>208</v>
      </c>
      <c r="E16" s="2466">
        <f ca="1">'THCP thiet bi'!G26</f>
        <v>0</v>
      </c>
      <c r="F16" s="2466"/>
      <c r="G16" s="2466"/>
      <c r="H16" s="2466"/>
      <c r="I16" s="231" t="s">
        <v>209</v>
      </c>
      <c r="J16" s="227"/>
      <c r="K16" s="227"/>
      <c r="L16" s="227"/>
      <c r="M16" s="227"/>
      <c r="N16" s="227"/>
      <c r="O16" s="228"/>
    </row>
    <row r="17" spans="1:15" ht="20.25" customHeight="1">
      <c r="A17" s="222"/>
      <c r="B17" s="17"/>
      <c r="C17" s="17"/>
      <c r="D17" s="232" t="s">
        <v>1041</v>
      </c>
      <c r="E17" s="17" t="str" cm="1">
        <f t="array" aca="1" ref="E17" ca="1">vnd(E16)</f>
        <v xml:space="preserve"> đồng.</v>
      </c>
      <c r="F17" s="17"/>
      <c r="G17" s="17"/>
      <c r="H17" s="17"/>
      <c r="I17" s="17"/>
      <c r="J17" s="17"/>
      <c r="K17" s="17"/>
      <c r="L17" s="17"/>
      <c r="M17" s="17"/>
      <c r="N17" s="17"/>
      <c r="O17" s="233"/>
    </row>
    <row r="18" spans="1:15">
      <c r="A18" s="222"/>
      <c r="B18" s="17"/>
      <c r="C18" s="17"/>
      <c r="D18" s="17"/>
      <c r="E18" s="17"/>
      <c r="F18" s="17"/>
      <c r="G18" s="17"/>
      <c r="H18" s="17"/>
      <c r="I18" s="17"/>
      <c r="J18" s="17"/>
      <c r="K18" s="17"/>
      <c r="L18" s="17"/>
      <c r="M18" s="17"/>
      <c r="N18" s="17"/>
      <c r="O18" s="233"/>
    </row>
    <row r="19" spans="1:15" ht="12" customHeight="1">
      <c r="A19" s="222"/>
      <c r="B19" s="17"/>
      <c r="C19" s="17"/>
      <c r="D19" s="17"/>
      <c r="E19" s="17"/>
      <c r="F19" s="17"/>
      <c r="G19" s="17"/>
      <c r="H19" s="17"/>
      <c r="I19" s="17"/>
      <c r="J19" s="17"/>
      <c r="K19" s="17"/>
      <c r="L19" s="17"/>
      <c r="M19" s="17"/>
      <c r="N19" s="17"/>
      <c r="O19" s="233"/>
    </row>
    <row r="20" spans="1:15">
      <c r="A20" s="222"/>
      <c r="B20" s="17"/>
      <c r="C20" s="17"/>
      <c r="D20" s="17"/>
      <c r="E20" s="17"/>
      <c r="F20" s="17"/>
      <c r="G20" s="17"/>
      <c r="H20" s="49" t="s">
        <v>210</v>
      </c>
      <c r="I20" s="1010">
        <f>Ts!O9</f>
        <v>0</v>
      </c>
      <c r="J20" s="235"/>
      <c r="K20" s="236"/>
      <c r="L20" s="237"/>
      <c r="M20" s="236"/>
      <c r="N20" s="238"/>
      <c r="O20" s="233"/>
    </row>
    <row r="21" spans="1:15" ht="21.75" customHeight="1">
      <c r="A21" s="222"/>
      <c r="B21" s="17"/>
      <c r="C21" s="12"/>
      <c r="D21" s="101"/>
      <c r="E21" s="17"/>
      <c r="F21" s="17"/>
      <c r="G21" s="12"/>
      <c r="H21" s="17"/>
      <c r="I21" s="15" t="s">
        <v>211</v>
      </c>
      <c r="J21" s="101"/>
      <c r="K21" s="101"/>
      <c r="L21" s="101"/>
      <c r="M21" s="17"/>
      <c r="N21" s="17"/>
      <c r="O21" s="233"/>
    </row>
    <row r="22" spans="1:15" ht="18" customHeight="1">
      <c r="A22" s="222"/>
      <c r="B22" s="17"/>
      <c r="C22" s="12"/>
      <c r="D22" s="101"/>
      <c r="E22" s="17"/>
      <c r="F22" s="17"/>
      <c r="G22" s="12"/>
      <c r="H22" s="17"/>
      <c r="I22" s="101"/>
      <c r="J22" s="101"/>
      <c r="K22" s="101"/>
      <c r="L22" s="101"/>
      <c r="M22" s="17"/>
      <c r="N22" s="17"/>
      <c r="O22" s="233"/>
    </row>
    <row r="23" spans="1:15" ht="18" customHeight="1">
      <c r="A23" s="222"/>
      <c r="B23" s="17"/>
      <c r="C23" s="12"/>
      <c r="D23" s="101"/>
      <c r="E23" s="17"/>
      <c r="F23" s="17"/>
      <c r="G23" s="12"/>
      <c r="H23" s="17"/>
      <c r="I23" s="101"/>
      <c r="J23" s="101"/>
      <c r="K23" s="101"/>
      <c r="L23" s="101"/>
      <c r="M23" s="17"/>
      <c r="N23" s="17"/>
      <c r="O23" s="233"/>
    </row>
    <row r="24" spans="1:15" ht="18" customHeight="1">
      <c r="A24" s="222"/>
      <c r="B24" s="17"/>
      <c r="C24" s="101"/>
      <c r="D24" s="101"/>
      <c r="E24" s="17"/>
      <c r="F24" s="17"/>
      <c r="G24" s="101"/>
      <c r="H24" s="17"/>
      <c r="I24" s="101"/>
      <c r="J24" s="101"/>
      <c r="K24" s="101"/>
      <c r="L24" s="101"/>
      <c r="M24" s="17"/>
      <c r="N24" s="17"/>
      <c r="O24" s="233"/>
    </row>
    <row r="25" spans="1:15" ht="18" customHeight="1">
      <c r="A25" s="222"/>
      <c r="B25" s="17"/>
      <c r="C25" s="101"/>
      <c r="D25" s="101"/>
      <c r="E25" s="17"/>
      <c r="F25" s="17"/>
      <c r="G25" s="101"/>
      <c r="H25" s="17"/>
      <c r="I25" s="101"/>
      <c r="J25" s="101"/>
      <c r="K25" s="101"/>
      <c r="L25" s="101"/>
      <c r="M25" s="17"/>
      <c r="N25" s="17"/>
      <c r="O25" s="233"/>
    </row>
    <row r="26" spans="1:15" ht="18" customHeight="1">
      <c r="A26" s="222"/>
      <c r="B26" s="17"/>
      <c r="C26" s="101"/>
      <c r="D26" s="101"/>
      <c r="E26" s="17"/>
      <c r="F26" s="17"/>
      <c r="G26" s="101"/>
      <c r="H26" s="17"/>
      <c r="I26" s="101"/>
      <c r="J26" s="101"/>
      <c r="K26" s="101"/>
      <c r="L26" s="101"/>
      <c r="M26" s="17"/>
      <c r="N26" s="17"/>
      <c r="O26" s="233"/>
    </row>
    <row r="27" spans="1:15">
      <c r="A27" s="222"/>
      <c r="B27" s="17"/>
      <c r="C27" s="101"/>
      <c r="D27" s="101"/>
      <c r="E27" s="17"/>
      <c r="F27" s="17"/>
      <c r="G27" s="101"/>
      <c r="H27" s="17"/>
      <c r="I27" s="239" t="s">
        <v>212</v>
      </c>
      <c r="J27" s="101"/>
      <c r="K27" s="101"/>
      <c r="L27" s="101"/>
      <c r="M27" s="17"/>
      <c r="N27" s="17"/>
      <c r="O27" s="233"/>
    </row>
    <row r="28" spans="1:15" ht="16.5" thickBot="1">
      <c r="A28" s="240"/>
      <c r="B28" s="241"/>
      <c r="C28" s="241"/>
      <c r="D28" s="241"/>
      <c r="E28" s="241"/>
      <c r="F28" s="241"/>
      <c r="G28" s="241"/>
      <c r="H28" s="241"/>
      <c r="I28" s="241"/>
      <c r="J28" s="241"/>
      <c r="K28" s="241"/>
      <c r="L28" s="241"/>
      <c r="M28" s="241"/>
      <c r="N28" s="241"/>
      <c r="O28" s="242"/>
    </row>
    <row r="29" spans="1:15" ht="16.5" thickTop="1">
      <c r="A29" s="216"/>
      <c r="B29" s="217"/>
      <c r="C29" s="217"/>
      <c r="D29" s="217"/>
      <c r="E29" s="217"/>
      <c r="F29" s="217"/>
      <c r="G29" s="217"/>
      <c r="H29" s="217"/>
      <c r="I29" s="217"/>
      <c r="J29" s="217"/>
      <c r="K29" s="217"/>
      <c r="L29" s="217"/>
      <c r="M29" s="217"/>
      <c r="N29" s="217"/>
      <c r="O29" s="218"/>
    </row>
    <row r="30" spans="1:15" ht="18.75">
      <c r="A30" s="5" t="s">
        <v>198</v>
      </c>
      <c r="B30" s="6"/>
      <c r="C30" s="6"/>
      <c r="D30" s="8"/>
      <c r="E30" s="17"/>
      <c r="F30" s="243" t="s">
        <v>199</v>
      </c>
      <c r="G30" s="47"/>
      <c r="H30" s="47"/>
      <c r="I30" s="47"/>
      <c r="J30" s="47"/>
      <c r="K30" s="47"/>
      <c r="L30" s="47"/>
      <c r="M30" s="47"/>
      <c r="N30" s="101"/>
      <c r="O30" s="219"/>
    </row>
    <row r="31" spans="1:15" ht="18.75">
      <c r="A31" s="7" t="s">
        <v>200</v>
      </c>
      <c r="B31" s="8"/>
      <c r="C31" s="8"/>
      <c r="D31" s="8"/>
      <c r="E31" s="17"/>
      <c r="F31" s="8" t="s">
        <v>201</v>
      </c>
      <c r="G31" s="47"/>
      <c r="H31" s="47"/>
      <c r="I31" s="47"/>
      <c r="J31" s="47"/>
      <c r="K31" s="47"/>
      <c r="L31" s="47"/>
      <c r="M31" s="47"/>
      <c r="N31" s="101"/>
      <c r="O31" s="219"/>
    </row>
    <row r="32" spans="1:15" ht="18.75">
      <c r="A32" s="220"/>
      <c r="B32" s="221"/>
      <c r="C32" s="221"/>
      <c r="D32" s="221"/>
      <c r="E32" s="17"/>
      <c r="F32" s="17"/>
      <c r="G32" s="17"/>
      <c r="H32" s="17"/>
      <c r="I32" s="17"/>
      <c r="J32" s="17"/>
      <c r="K32" s="17"/>
      <c r="L32" s="17"/>
      <c r="M32" s="17"/>
      <c r="N32" s="17"/>
      <c r="O32" s="219"/>
    </row>
    <row r="33" spans="1:15" ht="18.75">
      <c r="A33" s="9"/>
      <c r="B33" s="6"/>
      <c r="C33" s="6"/>
      <c r="D33" s="221"/>
      <c r="E33" s="17"/>
      <c r="F33" s="17"/>
      <c r="G33" s="17"/>
      <c r="H33" s="17"/>
      <c r="I33" s="17"/>
      <c r="J33" s="17"/>
      <c r="K33" s="17"/>
      <c r="L33" s="17"/>
      <c r="M33" s="17"/>
      <c r="N33" s="17"/>
      <c r="O33" s="219"/>
    </row>
    <row r="34" spans="1:15">
      <c r="A34" s="222"/>
      <c r="B34" s="17"/>
      <c r="C34" s="17"/>
      <c r="D34" s="17"/>
      <c r="E34" s="17"/>
      <c r="F34" s="17"/>
      <c r="G34" s="17"/>
      <c r="H34" s="17"/>
      <c r="I34" s="17"/>
      <c r="J34" s="17"/>
      <c r="K34" s="17"/>
      <c r="L34" s="17"/>
      <c r="M34" s="17"/>
      <c r="N34" s="17"/>
      <c r="O34" s="219"/>
    </row>
    <row r="35" spans="1:15">
      <c r="A35" s="222"/>
      <c r="B35" s="17"/>
      <c r="C35" s="17"/>
      <c r="D35" s="17"/>
      <c r="E35" s="17"/>
      <c r="F35" s="17"/>
      <c r="G35" s="17"/>
      <c r="H35" s="17"/>
      <c r="I35" s="17"/>
      <c r="J35" s="17"/>
      <c r="K35" s="17"/>
      <c r="L35" s="17"/>
      <c r="M35" s="17"/>
      <c r="N35" s="17"/>
      <c r="O35" s="219"/>
    </row>
    <row r="36" spans="1:15">
      <c r="A36" s="222"/>
      <c r="B36" s="17"/>
      <c r="C36" s="17"/>
      <c r="D36" s="17"/>
      <c r="E36" s="17"/>
      <c r="F36" s="17"/>
      <c r="G36" s="17"/>
      <c r="H36" s="17"/>
      <c r="I36" s="17"/>
      <c r="J36" s="17"/>
      <c r="K36" s="17"/>
      <c r="L36" s="17"/>
      <c r="M36" s="17"/>
      <c r="N36" s="17"/>
      <c r="O36" s="219"/>
    </row>
    <row r="37" spans="1:15">
      <c r="A37" s="222"/>
      <c r="B37" s="17"/>
      <c r="C37" s="17"/>
      <c r="D37" s="17"/>
      <c r="E37" s="17"/>
      <c r="F37" s="17"/>
      <c r="G37" s="17"/>
      <c r="H37" s="17"/>
      <c r="I37" s="17"/>
      <c r="J37" s="17"/>
      <c r="K37" s="17"/>
      <c r="L37" s="17"/>
      <c r="M37" s="17"/>
      <c r="N37" s="17"/>
      <c r="O37" s="219"/>
    </row>
    <row r="38" spans="1:15">
      <c r="A38" s="222"/>
      <c r="B38" s="17"/>
      <c r="C38" s="17"/>
      <c r="D38" s="17"/>
      <c r="E38" s="17"/>
      <c r="F38" s="17"/>
      <c r="G38" s="17"/>
      <c r="H38" s="17"/>
      <c r="I38" s="17"/>
      <c r="J38" s="17"/>
      <c r="K38" s="17"/>
      <c r="L38" s="17"/>
      <c r="M38" s="17"/>
      <c r="N38" s="17"/>
      <c r="O38" s="219"/>
    </row>
    <row r="39" spans="1:15" ht="33.75" customHeight="1">
      <c r="A39" s="223" t="s">
        <v>312</v>
      </c>
      <c r="B39" s="224"/>
      <c r="C39" s="224"/>
      <c r="D39" s="224"/>
      <c r="E39" s="224"/>
      <c r="F39" s="224"/>
      <c r="G39" s="224"/>
      <c r="H39" s="224"/>
      <c r="I39" s="224"/>
      <c r="J39" s="224"/>
      <c r="K39" s="224"/>
      <c r="L39" s="224"/>
      <c r="M39" s="224"/>
      <c r="N39" s="224"/>
      <c r="O39" s="225"/>
    </row>
    <row r="40" spans="1:15" ht="32.1" customHeight="1">
      <c r="A40" s="9" t="s">
        <v>203</v>
      </c>
      <c r="B40" s="224"/>
      <c r="C40" s="224"/>
      <c r="D40" s="6"/>
      <c r="E40" s="224"/>
      <c r="F40" s="224"/>
      <c r="G40" s="224"/>
      <c r="H40" s="224"/>
      <c r="I40" s="224"/>
      <c r="J40" s="224"/>
      <c r="K40" s="224"/>
      <c r="L40" s="224"/>
      <c r="M40" s="224"/>
      <c r="N40" s="224"/>
      <c r="O40" s="225"/>
    </row>
    <row r="41" spans="1:15" ht="18" customHeight="1">
      <c r="A41" s="9"/>
      <c r="B41" s="224"/>
      <c r="C41" s="224"/>
      <c r="D41" s="6"/>
      <c r="E41" s="224"/>
      <c r="F41" s="224"/>
      <c r="G41" s="224"/>
      <c r="H41" s="224"/>
      <c r="I41" s="224"/>
      <c r="J41" s="224"/>
      <c r="K41" s="224"/>
      <c r="L41" s="224"/>
      <c r="M41" s="224"/>
      <c r="N41" s="224"/>
      <c r="O41" s="225"/>
    </row>
    <row r="42" spans="1:15" s="10" customFormat="1" ht="24" customHeight="1">
      <c r="A42" s="226"/>
      <c r="B42" s="227"/>
      <c r="C42" s="227"/>
      <c r="D42" s="227" t="s">
        <v>247</v>
      </c>
      <c r="E42" s="227" t="str">
        <f>IF(Ts!K4="","",UPPER(Ts!K4))</f>
        <v>NHÀ 01 TẦNG, TƯỜNG CHỊU LỰC 110MM, MÁI LỢP FIBRÔXIMĂNG, KHÔNG CÓ KHU VỆ SINH KHÉP KÍN</v>
      </c>
      <c r="F42" s="227"/>
      <c r="G42" s="227"/>
      <c r="H42" s="227"/>
      <c r="I42" s="227"/>
      <c r="J42" s="227"/>
      <c r="K42" s="227"/>
      <c r="L42" s="227"/>
      <c r="M42" s="227"/>
      <c r="N42" s="227"/>
      <c r="O42" s="228"/>
    </row>
    <row r="43" spans="1:15" s="10" customFormat="1" ht="24" customHeight="1">
      <c r="A43" s="226"/>
      <c r="B43" s="227"/>
      <c r="C43" s="227"/>
      <c r="D43" s="227" t="s">
        <v>248</v>
      </c>
      <c r="E43" s="227" t="str">
        <f>IF(Ts!K5="","",UPPER(Ts!K5))</f>
        <v>MẪU NO-01-110-2-TCL</v>
      </c>
      <c r="F43" s="227"/>
      <c r="G43" s="227"/>
      <c r="H43" s="227"/>
      <c r="I43" s="227"/>
      <c r="J43" s="227"/>
      <c r="K43" s="227"/>
      <c r="L43" s="227"/>
      <c r="M43" s="227"/>
      <c r="N43" s="227"/>
      <c r="O43" s="228"/>
    </row>
    <row r="44" spans="1:15" s="11" customFormat="1" ht="24" customHeight="1">
      <c r="A44" s="220"/>
      <c r="B44" s="221"/>
      <c r="C44" s="221"/>
      <c r="D44" s="227" t="s">
        <v>205</v>
      </c>
      <c r="E44" s="227" t="str">
        <f>UPPER(Ts!K6)</f>
        <v/>
      </c>
      <c r="F44" s="221"/>
      <c r="G44" s="221"/>
      <c r="H44" s="221"/>
      <c r="I44" s="221"/>
      <c r="J44" s="221"/>
      <c r="K44" s="221"/>
      <c r="L44" s="221"/>
      <c r="M44" s="221"/>
      <c r="N44" s="221"/>
      <c r="O44" s="229"/>
    </row>
    <row r="45" spans="1:15" s="10" customFormat="1" ht="24" customHeight="1">
      <c r="A45" s="226"/>
      <c r="B45" s="227"/>
      <c r="C45" s="227"/>
      <c r="D45" s="227" t="s">
        <v>206</v>
      </c>
      <c r="E45" s="227" t="str">
        <f>UPPER(Ts!K7)</f>
        <v/>
      </c>
      <c r="F45" s="227"/>
      <c r="G45" s="227"/>
      <c r="H45" s="227"/>
      <c r="I45" s="227"/>
      <c r="J45" s="227"/>
      <c r="K45" s="227"/>
      <c r="L45" s="227"/>
      <c r="M45" s="227"/>
      <c r="N45" s="227"/>
      <c r="O45" s="228"/>
    </row>
    <row r="46" spans="1:15">
      <c r="A46" s="222"/>
      <c r="B46" s="17"/>
      <c r="C46" s="17"/>
      <c r="D46" s="17"/>
      <c r="E46" s="17"/>
      <c r="F46" s="17"/>
      <c r="G46" s="17"/>
      <c r="H46" s="17"/>
      <c r="I46" s="17"/>
      <c r="J46" s="17"/>
      <c r="K46" s="17"/>
      <c r="L46" s="17"/>
      <c r="M46" s="17"/>
      <c r="N46" s="17"/>
      <c r="O46" s="233"/>
    </row>
    <row r="47" spans="1:15">
      <c r="A47" s="222"/>
      <c r="B47" s="17"/>
      <c r="C47" s="17"/>
      <c r="D47" s="17"/>
      <c r="E47" s="17"/>
      <c r="F47" s="17"/>
      <c r="G47" s="17"/>
      <c r="H47" s="17"/>
      <c r="I47" s="17"/>
      <c r="J47" s="17"/>
      <c r="K47" s="17"/>
      <c r="L47" s="17"/>
      <c r="M47" s="17"/>
      <c r="N47" s="17"/>
      <c r="O47" s="233"/>
    </row>
    <row r="48" spans="1:15">
      <c r="A48" s="222"/>
      <c r="B48" s="17"/>
      <c r="C48" s="17"/>
      <c r="D48" s="17"/>
      <c r="E48" s="17"/>
      <c r="F48" s="17"/>
      <c r="G48" s="17"/>
      <c r="H48" s="17"/>
      <c r="I48" s="17"/>
      <c r="J48" s="17"/>
      <c r="K48" s="17"/>
      <c r="L48" s="17"/>
      <c r="M48" s="17"/>
      <c r="N48" s="17"/>
      <c r="O48" s="233"/>
    </row>
    <row r="49" spans="1:15">
      <c r="A49" s="222"/>
      <c r="B49" s="244"/>
      <c r="C49" s="17"/>
      <c r="D49" s="17"/>
      <c r="E49" s="244"/>
      <c r="F49" s="17"/>
      <c r="G49" s="17"/>
      <c r="H49" s="244"/>
      <c r="I49" s="17"/>
      <c r="J49" s="244"/>
      <c r="K49" s="17"/>
      <c r="L49" s="17"/>
      <c r="M49" s="17"/>
      <c r="N49" s="17"/>
      <c r="O49" s="233"/>
    </row>
    <row r="50" spans="1:15">
      <c r="A50" s="222"/>
      <c r="B50" s="17"/>
      <c r="C50" s="17"/>
      <c r="D50" s="17"/>
      <c r="E50" s="17"/>
      <c r="F50" s="17"/>
      <c r="G50" s="17"/>
      <c r="H50" s="17"/>
      <c r="I50" s="17"/>
      <c r="J50" s="17"/>
      <c r="K50" s="17"/>
      <c r="L50" s="17"/>
      <c r="M50" s="17"/>
      <c r="N50" s="17"/>
      <c r="O50" s="233"/>
    </row>
    <row r="51" spans="1:15">
      <c r="A51" s="222"/>
      <c r="B51" s="17"/>
      <c r="C51" s="17"/>
      <c r="D51" s="17"/>
      <c r="E51" s="17"/>
      <c r="F51" s="17"/>
      <c r="G51" s="17"/>
      <c r="H51" s="49"/>
      <c r="I51" s="234"/>
      <c r="J51" s="235"/>
      <c r="K51" s="236"/>
      <c r="L51" s="237"/>
      <c r="M51" s="236"/>
      <c r="N51" s="238"/>
      <c r="O51" s="233"/>
    </row>
    <row r="52" spans="1:15">
      <c r="A52" s="222"/>
      <c r="B52" s="17"/>
      <c r="C52" s="17"/>
      <c r="D52" s="17"/>
      <c r="E52" s="17"/>
      <c r="F52" s="17"/>
      <c r="G52" s="17"/>
      <c r="H52" s="17"/>
      <c r="I52" s="17"/>
      <c r="J52" s="17"/>
      <c r="K52" s="17"/>
      <c r="L52" s="17"/>
      <c r="M52" s="17"/>
      <c r="N52" s="17"/>
      <c r="O52" s="233"/>
    </row>
    <row r="53" spans="1:15">
      <c r="A53" s="222"/>
      <c r="B53" s="17"/>
      <c r="C53" s="12"/>
      <c r="D53" s="101"/>
      <c r="E53" s="17"/>
      <c r="F53" s="17"/>
      <c r="G53" s="12"/>
      <c r="H53" s="17"/>
      <c r="I53" s="12"/>
      <c r="J53" s="101"/>
      <c r="K53" s="101"/>
      <c r="L53" s="101"/>
      <c r="M53" s="17"/>
      <c r="N53" s="17"/>
      <c r="O53" s="233"/>
    </row>
    <row r="54" spans="1:15" ht="18" customHeight="1">
      <c r="A54" s="222"/>
      <c r="B54" s="17"/>
      <c r="C54" s="12"/>
      <c r="D54" s="101"/>
      <c r="E54" s="17"/>
      <c r="F54" s="17"/>
      <c r="G54" s="12"/>
      <c r="H54" s="17"/>
      <c r="I54" s="101"/>
      <c r="J54" s="101"/>
      <c r="K54" s="101"/>
      <c r="L54" s="101"/>
      <c r="M54" s="17"/>
      <c r="N54" s="17"/>
      <c r="O54" s="233"/>
    </row>
    <row r="55" spans="1:15" ht="18" customHeight="1">
      <c r="A55" s="222"/>
      <c r="B55" s="17"/>
      <c r="C55" s="12"/>
      <c r="D55" s="101"/>
      <c r="E55" s="17"/>
      <c r="F55" s="17"/>
      <c r="G55" s="12"/>
      <c r="H55" s="17"/>
      <c r="I55" s="101"/>
      <c r="J55" s="101"/>
      <c r="K55" s="101"/>
      <c r="L55" s="101"/>
      <c r="M55" s="17"/>
      <c r="N55" s="17"/>
      <c r="O55" s="233"/>
    </row>
    <row r="56" spans="1:15" ht="16.5" thickBot="1">
      <c r="A56" s="240"/>
      <c r="B56" s="241"/>
      <c r="C56" s="241"/>
      <c r="D56" s="241"/>
      <c r="E56" s="241"/>
      <c r="F56" s="241"/>
      <c r="G56" s="241"/>
      <c r="H56" s="241"/>
      <c r="I56" s="241"/>
      <c r="J56" s="241"/>
      <c r="K56" s="241"/>
      <c r="L56" s="241"/>
      <c r="M56" s="241"/>
      <c r="N56" s="241"/>
      <c r="O56" s="242"/>
    </row>
    <row r="57" spans="1:15" ht="16.5" thickTop="1">
      <c r="A57" s="17"/>
      <c r="B57" s="17"/>
      <c r="C57" s="17"/>
      <c r="D57" s="17"/>
      <c r="E57" s="17"/>
      <c r="F57" s="17"/>
      <c r="G57" s="17"/>
      <c r="H57" s="17"/>
      <c r="I57" s="17"/>
      <c r="J57" s="17"/>
      <c r="K57" s="17"/>
      <c r="L57" s="17"/>
      <c r="M57" s="17"/>
      <c r="N57" s="17"/>
      <c r="O57" s="17"/>
    </row>
    <row r="58" spans="1:15">
      <c r="A58" s="53"/>
      <c r="B58" s="17"/>
      <c r="C58" s="17"/>
      <c r="D58" s="17"/>
      <c r="E58" s="17"/>
      <c r="F58" s="17"/>
      <c r="G58" s="17"/>
      <c r="H58" s="17"/>
      <c r="I58" s="17"/>
      <c r="J58" s="17"/>
      <c r="K58" s="17"/>
      <c r="L58" s="17"/>
      <c r="M58" s="17"/>
      <c r="N58" s="17"/>
      <c r="O58" s="17"/>
    </row>
  </sheetData>
  <mergeCells count="1">
    <mergeCell ref="E16:H16"/>
  </mergeCells>
  <phoneticPr fontId="88" type="noConversion"/>
  <dataValidations count="1">
    <dataValidation allowBlank="1" showInputMessage="1" showErrorMessage="1" prompt="Có thể gõ tên công trình vào đây" sqref="E42:E43"/>
  </dataValidations>
  <hyperlinks>
    <hyperlink ref="F30" location="ML!A1" tooltip="Về mục lục" display="CỘNG HOÀ XÃ HỘI CHỦ NGHĨA VIỆT NAM"/>
  </hyperlinks>
  <printOptions horizontalCentered="1"/>
  <pageMargins left="0.75" right="0.2" top="0.5" bottom="0.5" header="0.25" footer="0.25"/>
  <pageSetup paperSize="9" orientation="landscape" blackAndWhite="1" horizontalDpi="300" verticalDpi="300" r:id="rId1"/>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3">
    <tabColor rgb="FF00B050"/>
  </sheetPr>
  <dimension ref="A1:J25"/>
  <sheetViews>
    <sheetView showZeros="0" zoomScaleSheetLayoutView="100" workbookViewId="0">
      <selection activeCell="B7" sqref="B7"/>
    </sheetView>
  </sheetViews>
  <sheetFormatPr defaultRowHeight="15"/>
  <cols>
    <col min="1" max="1" width="5.140625" bestFit="1" customWidth="1"/>
    <col min="2" max="2" width="45.5703125" customWidth="1"/>
    <col min="3" max="3" width="8.42578125" style="470" customWidth="1"/>
    <col min="4" max="4" width="14.42578125" style="896" customWidth="1"/>
    <col min="5" max="5" width="15" style="900" customWidth="1"/>
    <col min="6" max="6" width="15.5703125" style="178" customWidth="1"/>
    <col min="7" max="7" width="14.140625" style="178" customWidth="1"/>
    <col min="8" max="8" width="17.140625" style="178" customWidth="1"/>
    <col min="9" max="9" width="11.42578125" customWidth="1"/>
    <col min="10" max="10" width="8.42578125" bestFit="1" customWidth="1"/>
  </cols>
  <sheetData>
    <row r="1" spans="1:10" ht="22.5">
      <c r="A1" s="670" t="s">
        <v>856</v>
      </c>
      <c r="B1" s="6"/>
      <c r="C1" s="6"/>
      <c r="D1" s="6"/>
      <c r="E1" s="48"/>
      <c r="F1" s="48"/>
      <c r="G1" s="48"/>
      <c r="H1" s="48"/>
      <c r="I1" s="6"/>
      <c r="J1" s="155"/>
    </row>
    <row r="2" spans="1:10" ht="22.15" customHeight="1">
      <c r="A2" s="1019"/>
      <c r="B2" s="1220" t="str">
        <f>"Tên Dự án: "&amp;'Bia-Dutoan'!E11</f>
        <v>Tên Dự án: ĐIỀU CHỈNH, BỔ SUNG, ĐƠN GIÁ XÂY DỰNG CỦA MỘT SỐ LOẠI CÔNG TRÌNH ĐỂ XÁC ĐỊNH GIÁ TRỊ BỒI
THƯỜNG ĐỐI VỚI NHÀ Ở, CÔNG TRÌNH PHẢI THÁO DỠ KHI NHÀ NƯỚC THU HỒI ĐẤT TRÊN ĐỊA BÀN TỈNH SƠN LA</v>
      </c>
      <c r="C2" s="6"/>
      <c r="D2" s="6"/>
      <c r="E2" s="48"/>
      <c r="F2" s="48"/>
      <c r="G2" s="48"/>
      <c r="H2" s="48"/>
      <c r="I2" s="6"/>
      <c r="J2" s="155"/>
    </row>
    <row r="3" spans="1:10" ht="18.75">
      <c r="A3" s="17"/>
      <c r="B3" s="1220" t="s">
        <v>852</v>
      </c>
      <c r="C3" s="25"/>
      <c r="D3" s="271"/>
      <c r="E3" s="269"/>
      <c r="F3" s="184"/>
      <c r="G3" s="184"/>
      <c r="J3" s="155"/>
    </row>
    <row r="4" spans="1:10" ht="18.75">
      <c r="A4" s="17"/>
      <c r="B4" s="1220" t="s">
        <v>857</v>
      </c>
      <c r="C4" s="25"/>
      <c r="D4" s="271"/>
      <c r="E4" s="269"/>
      <c r="F4" s="184"/>
      <c r="G4" s="184"/>
      <c r="H4" s="879"/>
      <c r="J4" s="155"/>
    </row>
    <row r="5" spans="1:10" ht="18.75">
      <c r="A5" s="17"/>
      <c r="B5" s="1220" t="s">
        <v>858</v>
      </c>
      <c r="C5" s="25"/>
      <c r="D5" s="271"/>
      <c r="E5" s="269"/>
      <c r="F5" s="184"/>
      <c r="G5" s="184"/>
      <c r="H5" s="879"/>
      <c r="J5" s="155"/>
    </row>
    <row r="6" spans="1:10" ht="15.75">
      <c r="A6" s="17"/>
      <c r="B6" s="17"/>
      <c r="C6" s="25"/>
      <c r="D6" s="271"/>
      <c r="E6" s="269"/>
      <c r="F6" s="184"/>
      <c r="G6" s="184"/>
      <c r="H6"/>
      <c r="I6" s="879" t="s">
        <v>310</v>
      </c>
      <c r="J6" s="155"/>
    </row>
    <row r="7" spans="1:10" ht="47.25">
      <c r="A7" s="1046" t="s">
        <v>196</v>
      </c>
      <c r="B7" s="1043" t="s">
        <v>309</v>
      </c>
      <c r="C7" s="1043" t="s">
        <v>122</v>
      </c>
      <c r="D7" s="1043" t="s">
        <v>136</v>
      </c>
      <c r="E7" s="1044" t="s">
        <v>123</v>
      </c>
      <c r="F7" s="1044" t="s">
        <v>488</v>
      </c>
      <c r="G7" s="1044" t="s">
        <v>46</v>
      </c>
      <c r="H7" s="1044" t="s">
        <v>489</v>
      </c>
      <c r="I7" s="1043" t="s">
        <v>94</v>
      </c>
      <c r="J7" s="1045" t="s">
        <v>43</v>
      </c>
    </row>
    <row r="8" spans="1:10">
      <c r="A8" s="441" t="s">
        <v>273</v>
      </c>
      <c r="B8" s="653" t="s">
        <v>276</v>
      </c>
      <c r="C8" s="653" t="s">
        <v>277</v>
      </c>
      <c r="D8" s="653" t="s">
        <v>278</v>
      </c>
      <c r="E8" s="878" t="s">
        <v>279</v>
      </c>
      <c r="F8" s="443" t="s">
        <v>280</v>
      </c>
      <c r="G8" s="447" t="s">
        <v>282</v>
      </c>
      <c r="H8" s="447" t="s">
        <v>283</v>
      </c>
      <c r="I8" s="654" t="s">
        <v>288</v>
      </c>
      <c r="J8" s="665"/>
    </row>
    <row r="9" spans="1:10" ht="31.5">
      <c r="A9" s="1107">
        <v>1</v>
      </c>
      <c r="B9" s="656" t="s">
        <v>708</v>
      </c>
      <c r="C9" s="888"/>
      <c r="D9" s="891"/>
      <c r="E9" s="727"/>
      <c r="F9" s="727">
        <f>'MS TBVT-TN'!G35</f>
        <v>0</v>
      </c>
      <c r="G9" s="727">
        <f>'MS TBVT-TN'!H35</f>
        <v>0</v>
      </c>
      <c r="H9" s="727">
        <f>'MS TBVT-TN'!I35</f>
        <v>0</v>
      </c>
      <c r="I9" s="888" t="s">
        <v>627</v>
      </c>
      <c r="J9" s="374"/>
    </row>
    <row r="10" spans="1:10" ht="17.25">
      <c r="A10" s="1108">
        <v>2</v>
      </c>
      <c r="B10" s="1096" t="s">
        <v>716</v>
      </c>
      <c r="C10" s="907"/>
      <c r="D10" s="901"/>
      <c r="E10" s="132"/>
      <c r="F10" s="132"/>
      <c r="G10" s="132"/>
      <c r="H10" s="132"/>
      <c r="I10" s="39" t="s">
        <v>709</v>
      </c>
      <c r="J10" s="1106"/>
    </row>
    <row r="11" spans="1:10" ht="17.25">
      <c r="A11" s="1108">
        <v>3</v>
      </c>
      <c r="B11" s="1096" t="s">
        <v>724</v>
      </c>
      <c r="C11" s="907"/>
      <c r="D11" s="901"/>
      <c r="E11" s="132"/>
      <c r="F11" s="1105">
        <f>'CP ban quyen CN'!F11</f>
        <v>0</v>
      </c>
      <c r="G11" s="1105">
        <f>'CP ban quyen CN'!G11</f>
        <v>0</v>
      </c>
      <c r="H11" s="1105">
        <f>'CP ban quyen CN'!H11</f>
        <v>0</v>
      </c>
      <c r="I11" s="39" t="s">
        <v>710</v>
      </c>
      <c r="J11" s="1097"/>
    </row>
    <row r="12" spans="1:10" ht="17.25">
      <c r="A12" s="1108">
        <v>4</v>
      </c>
      <c r="B12" s="259" t="s">
        <v>589</v>
      </c>
      <c r="C12" s="33"/>
      <c r="D12" s="892"/>
      <c r="E12" s="728"/>
      <c r="F12" s="728">
        <f>'CP dao tao'!F20</f>
        <v>0</v>
      </c>
      <c r="G12" s="728">
        <f>'CP dao tao'!G20</f>
        <v>0</v>
      </c>
      <c r="H12" s="728">
        <f>'CP dao tao'!H20</f>
        <v>0</v>
      </c>
      <c r="I12" s="39" t="s">
        <v>714</v>
      </c>
      <c r="J12" s="35"/>
    </row>
    <row r="13" spans="1:10" ht="31.5">
      <c r="A13" s="1108">
        <v>5</v>
      </c>
      <c r="B13" s="1088" t="s">
        <v>717</v>
      </c>
      <c r="C13" s="33"/>
      <c r="D13" s="892"/>
      <c r="E13" s="728"/>
      <c r="F13" s="728">
        <f ca="1">THLD_G</f>
        <v>0</v>
      </c>
      <c r="G13" s="36">
        <f ca="1">THLD_GTGT</f>
        <v>0</v>
      </c>
      <c r="H13" s="36">
        <f ca="1">THLD_GLD</f>
        <v>0</v>
      </c>
      <c r="I13" s="39" t="s">
        <v>719</v>
      </c>
      <c r="J13" s="50"/>
    </row>
    <row r="14" spans="1:10" ht="17.25">
      <c r="A14" s="1108">
        <v>6</v>
      </c>
      <c r="B14" s="259" t="s">
        <v>711</v>
      </c>
      <c r="C14" s="33"/>
      <c r="D14" s="892"/>
      <c r="E14" s="728"/>
      <c r="F14" s="728">
        <f>'CP chay thu TB'!F11</f>
        <v>0</v>
      </c>
      <c r="G14" s="728">
        <f>'CP chay thu TB'!G11</f>
        <v>0</v>
      </c>
      <c r="H14" s="728">
        <f>'CP chay thu TB'!H11</f>
        <v>0</v>
      </c>
      <c r="I14" s="39" t="s">
        <v>720</v>
      </c>
      <c r="J14" s="50"/>
    </row>
    <row r="15" spans="1:10" ht="17.25">
      <c r="A15" s="1108">
        <v>7</v>
      </c>
      <c r="B15" s="259" t="s">
        <v>718</v>
      </c>
      <c r="C15" s="33"/>
      <c r="D15" s="892"/>
      <c r="E15" s="728"/>
      <c r="F15" s="728"/>
      <c r="G15" s="728"/>
      <c r="H15" s="728"/>
      <c r="I15" s="39" t="s">
        <v>525</v>
      </c>
      <c r="J15" s="50"/>
    </row>
    <row r="16" spans="1:10" ht="17.25">
      <c r="A16" s="661">
        <v>8</v>
      </c>
      <c r="B16" s="662" t="s">
        <v>168</v>
      </c>
      <c r="C16" s="890"/>
      <c r="D16" s="894"/>
      <c r="E16" s="899"/>
      <c r="F16" s="136">
        <f ca="1">SUM(F17:F18)</f>
        <v>0</v>
      </c>
      <c r="G16" s="136">
        <f ca="1">SUM(G17:G18)</f>
        <v>0</v>
      </c>
      <c r="H16" s="136">
        <f ca="1">SUM(H17:H18)</f>
        <v>0</v>
      </c>
      <c r="I16" s="39" t="s">
        <v>590</v>
      </c>
      <c r="J16" s="668"/>
    </row>
    <row r="17" spans="1:10" ht="17.25">
      <c r="A17" s="658"/>
      <c r="B17" s="659" t="s">
        <v>327</v>
      </c>
      <c r="C17" s="889"/>
      <c r="D17" s="893"/>
      <c r="E17" s="898"/>
      <c r="F17" s="139">
        <f ca="1">SUM(F9:F15)*$J$17</f>
        <v>0</v>
      </c>
      <c r="G17" s="139">
        <f t="shared" ref="G17:H17" ca="1" si="0">SUM(G9:G15)*$J$17</f>
        <v>0</v>
      </c>
      <c r="H17" s="139">
        <f t="shared" ca="1" si="0"/>
        <v>0</v>
      </c>
      <c r="I17" s="39" t="s">
        <v>591</v>
      </c>
      <c r="J17" s="671">
        <f>'CP Du phong'!E173</f>
        <v>0.05</v>
      </c>
    </row>
    <row r="18" spans="1:10" ht="17.25">
      <c r="A18" s="658"/>
      <c r="B18" s="659" t="s">
        <v>328</v>
      </c>
      <c r="C18" s="889"/>
      <c r="D18" s="893"/>
      <c r="E18" s="898"/>
      <c r="F18" s="139">
        <f ca="1">SUM(F9:F15)*$J$18</f>
        <v>0</v>
      </c>
      <c r="G18" s="139">
        <f t="shared" ref="G18:H18" ca="1" si="1">SUM(G9:G15)*$J$18</f>
        <v>0</v>
      </c>
      <c r="H18" s="139">
        <f t="shared" ca="1" si="1"/>
        <v>0</v>
      </c>
      <c r="I18" s="140" t="s">
        <v>592</v>
      </c>
      <c r="J18" s="668">
        <f ca="1">IF('CP Du phong'!D211=0,0,'CP Du phong'!D211-'THDT goi thau TB'!J17)</f>
        <v>0</v>
      </c>
    </row>
    <row r="19" spans="1:10" ht="17.25">
      <c r="A19" s="274"/>
      <c r="B19" s="273" t="s">
        <v>795</v>
      </c>
      <c r="C19" s="273"/>
      <c r="D19" s="1098"/>
      <c r="E19" s="1099"/>
      <c r="F19" s="1100">
        <f ca="1">SUM(F9,F10,F11,F12,GLDtt,F14,F15,F16)</f>
        <v>0</v>
      </c>
      <c r="G19" s="1101"/>
      <c r="H19" s="1100">
        <f ca="1">SUM(H9,H10,H11,H12,H13,H14,H15,H16)</f>
        <v>0</v>
      </c>
      <c r="I19" s="1102" t="s">
        <v>606</v>
      </c>
      <c r="J19" s="1103">
        <f>SUM(J9:J9)</f>
        <v>0</v>
      </c>
    </row>
    <row r="20" spans="1:10">
      <c r="A20" s="155"/>
      <c r="B20" s="155"/>
      <c r="C20" s="264"/>
      <c r="D20" s="789"/>
      <c r="E20" s="604"/>
      <c r="F20" s="498"/>
      <c r="G20" s="498"/>
      <c r="H20" s="498"/>
      <c r="I20" s="155"/>
      <c r="J20" s="155"/>
    </row>
    <row r="21" spans="1:10" ht="15.75">
      <c r="A21" s="664" t="s">
        <v>51</v>
      </c>
      <c r="B21" s="101"/>
      <c r="C21" s="25"/>
      <c r="D21" s="271"/>
      <c r="E21" s="269"/>
      <c r="F21" s="184"/>
      <c r="G21" s="71" t="s">
        <v>52</v>
      </c>
      <c r="H21" s="876"/>
      <c r="I21" s="73"/>
    </row>
    <row r="22" spans="1:10" ht="15.75">
      <c r="A22" s="70"/>
      <c r="G22" s="71"/>
      <c r="H22" s="876"/>
      <c r="I22" s="73"/>
    </row>
    <row r="23" spans="1:10" ht="15.75">
      <c r="A23" s="68"/>
      <c r="G23" s="71"/>
      <c r="H23" s="877"/>
      <c r="I23" s="68"/>
    </row>
    <row r="24" spans="1:10" ht="15.75">
      <c r="A24" s="68"/>
      <c r="G24" s="71"/>
      <c r="H24" s="877"/>
      <c r="I24" s="68"/>
    </row>
    <row r="25" spans="1:10" ht="15.75">
      <c r="A25" s="74"/>
      <c r="B25" s="17"/>
      <c r="C25" s="25"/>
      <c r="D25" s="271"/>
      <c r="E25" s="269"/>
      <c r="F25" s="184"/>
      <c r="G25" s="71" t="s">
        <v>335</v>
      </c>
      <c r="H25" s="876"/>
      <c r="I25" s="72"/>
    </row>
  </sheetData>
  <phoneticPr fontId="60" type="noConversion"/>
  <printOptions horizontalCentered="1"/>
  <pageMargins left="0.75" right="0.25" top="0.75" bottom="0.5" header="0.25" footer="0.25"/>
  <pageSetup paperSize="9" scale="87" orientation="portrait" blackAndWhite="1" horizontalDpi="300" verticalDpi="300" r:id="rId1"/>
  <headerFooter>
    <oddHeader>&amp;L&amp;"+,nghiêng"&amp;10Dự toán GXD - www.giaxaydung.vn</oddHeader>
    <oddFooter>&amp;C&amp;P</oddFooter>
  </headerFooter>
  <ignoredErrors>
    <ignoredError sqref="B2:B3" unlockedFormula="1"/>
  </ignoredErrors>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1"/>
  </sheetPr>
  <dimension ref="B1:H33"/>
  <sheetViews>
    <sheetView showZeros="0" topLeftCell="B1" zoomScale="85" zoomScaleNormal="85" zoomScaleSheetLayoutView="100" workbookViewId="0">
      <selection activeCell="C7" sqref="C7"/>
    </sheetView>
  </sheetViews>
  <sheetFormatPr defaultRowHeight="15"/>
  <cols>
    <col min="1" max="1" width="0" hidden="1" customWidth="1"/>
    <col min="2" max="2" width="5.5703125" customWidth="1"/>
    <col min="3" max="3" width="47.140625" bestFit="1" customWidth="1"/>
    <col min="4" max="4" width="11.5703125" customWidth="1"/>
    <col min="5" max="5" width="23.5703125" customWidth="1"/>
    <col min="6" max="6" width="18.42578125" customWidth="1"/>
    <col min="7" max="7" width="23.5703125" customWidth="1"/>
    <col min="8" max="8" width="9.5703125" customWidth="1"/>
  </cols>
  <sheetData>
    <row r="1" spans="2:8" ht="27.6" customHeight="1">
      <c r="B1" s="257" t="s">
        <v>850</v>
      </c>
      <c r="C1" s="257"/>
      <c r="D1" s="115"/>
      <c r="E1" s="116"/>
      <c r="F1" s="116"/>
      <c r="G1" s="116"/>
      <c r="H1" s="116"/>
    </row>
    <row r="2" spans="2:8" ht="22.15" customHeight="1">
      <c r="B2" s="1019"/>
      <c r="C2" s="1527" t="str">
        <f>"Tên Dự án: "&amp;'Bia-Dutoan'!E11</f>
        <v>Tên Dự án: ĐIỀU CHỈNH, BỔ SUNG, ĐƠN GIÁ XÂY DỰNG CỦA MỘT SỐ LOẠI CÔNG TRÌNH ĐỂ XÁC ĐỊNH GIÁ TRỊ BỒI
THƯỜNG ĐỐI VỚI NHÀ Ở, CÔNG TRÌNH PHẢI THÁO DỠ KHI NHÀ NƯỚC THU HỒI ĐẤT TRÊN ĐỊA BÀN TỈNH SƠN LA</v>
      </c>
      <c r="D2" s="6"/>
      <c r="E2" s="48"/>
      <c r="F2" s="48"/>
      <c r="G2" s="48"/>
      <c r="H2" s="48"/>
    </row>
    <row r="3" spans="2:8" ht="22.15" customHeight="1">
      <c r="B3" s="1019"/>
      <c r="C3" s="1527" t="str">
        <f>"Tên Công trình: "&amp;'Bia-Dutoan'!E43</f>
        <v>Tên Công trình: NHÀ 01 TẦNG, TƯỜNG CHỊU LỰC 110MM, MÁI LỢP FIBRÔXIMĂNG, KHÔNG CÓ KHU VỆ SINH KHÉP KÍN</v>
      </c>
      <c r="D3" s="6"/>
      <c r="E3" s="48"/>
      <c r="F3" s="48"/>
      <c r="G3" s="48"/>
      <c r="H3" s="48"/>
    </row>
    <row r="4" spans="2:8" ht="18.75">
      <c r="B4" s="30"/>
      <c r="C4" s="1527" t="s">
        <v>849</v>
      </c>
      <c r="D4" s="30"/>
      <c r="E4" s="31"/>
      <c r="F4" s="31"/>
      <c r="H4" s="56" t="s">
        <v>310</v>
      </c>
    </row>
    <row r="5" spans="2:8" ht="34.15" customHeight="1">
      <c r="B5" s="1040" t="s">
        <v>196</v>
      </c>
      <c r="C5" s="1032" t="s">
        <v>42</v>
      </c>
      <c r="D5" s="1032" t="s">
        <v>44</v>
      </c>
      <c r="E5" s="1032" t="s">
        <v>623</v>
      </c>
      <c r="F5" s="1032" t="s">
        <v>46</v>
      </c>
      <c r="G5" s="1032" t="s">
        <v>684</v>
      </c>
      <c r="H5" s="1032" t="s">
        <v>94</v>
      </c>
    </row>
    <row r="6" spans="2:8" ht="36" customHeight="1">
      <c r="B6" s="33">
        <v>1</v>
      </c>
      <c r="C6" s="34" t="s">
        <v>934</v>
      </c>
      <c r="D6" s="35"/>
      <c r="E6" s="36">
        <f>SUM(E7:E11)</f>
        <v>0</v>
      </c>
      <c r="F6" s="36">
        <f>SUM(F7:F11)</f>
        <v>0</v>
      </c>
      <c r="G6" s="36">
        <f>SUM(G7:G11)</f>
        <v>0</v>
      </c>
      <c r="H6" s="262" t="s">
        <v>627</v>
      </c>
    </row>
    <row r="7" spans="2:8" ht="36" customHeight="1">
      <c r="B7" s="35" t="s">
        <v>1173</v>
      </c>
      <c r="C7" s="37" t="s">
        <v>1172</v>
      </c>
      <c r="D7" s="35" t="s">
        <v>48</v>
      </c>
      <c r="E7" s="38">
        <f>'MS TBVT-NN'!I7+'MS TBVT-NN'!K7</f>
        <v>0</v>
      </c>
      <c r="F7" s="38">
        <f>'MS TBVT-NN'!M7</f>
        <v>0</v>
      </c>
      <c r="G7" s="38">
        <f>'MS TBVT-NN'!N7</f>
        <v>0</v>
      </c>
      <c r="H7" s="262"/>
    </row>
    <row r="8" spans="2:8" ht="36" customHeight="1">
      <c r="B8" s="35" t="s">
        <v>1174</v>
      </c>
      <c r="C8" s="37" t="s">
        <v>1171</v>
      </c>
      <c r="D8" s="35" t="s">
        <v>48</v>
      </c>
      <c r="E8" s="38">
        <f>'MS TBVT-TN'!G7</f>
        <v>0</v>
      </c>
      <c r="F8" s="38">
        <f>'MS TBVT-TN'!H7</f>
        <v>0</v>
      </c>
      <c r="G8" s="38">
        <f>'MS TBVT-TN'!I7</f>
        <v>0</v>
      </c>
      <c r="H8" s="262"/>
    </row>
    <row r="9" spans="2:8" ht="36" customHeight="1">
      <c r="B9" s="35" t="s">
        <v>1338</v>
      </c>
      <c r="C9" s="37" t="s">
        <v>1340</v>
      </c>
      <c r="D9" s="35" t="s">
        <v>48</v>
      </c>
      <c r="E9" s="38">
        <f>'MS TBVT-NN'!I14</f>
        <v>0</v>
      </c>
      <c r="F9" s="38">
        <f>'MS TBVT-NN'!M14</f>
        <v>0</v>
      </c>
      <c r="G9" s="38">
        <f>'MS TBVT-NN'!N14</f>
        <v>0</v>
      </c>
      <c r="H9" s="262"/>
    </row>
    <row r="10" spans="2:8" ht="36" customHeight="1">
      <c r="B10" s="35" t="s">
        <v>1339</v>
      </c>
      <c r="C10" s="37" t="s">
        <v>1341</v>
      </c>
      <c r="D10" s="35" t="s">
        <v>48</v>
      </c>
      <c r="E10" s="38">
        <f>'MS TBVT-TN'!G13</f>
        <v>0</v>
      </c>
      <c r="F10" s="38">
        <f>'MS TBVT-TN'!H13</f>
        <v>0</v>
      </c>
      <c r="G10" s="38">
        <f>'MS TBVT-TN'!I13</f>
        <v>0</v>
      </c>
      <c r="H10" s="262"/>
    </row>
    <row r="11" spans="2:8" ht="36" customHeight="1">
      <c r="B11" s="35" t="s">
        <v>1358</v>
      </c>
      <c r="C11" s="37" t="s">
        <v>1359</v>
      </c>
      <c r="D11" s="35" t="s">
        <v>48</v>
      </c>
      <c r="E11" s="38">
        <f>G11</f>
        <v>0</v>
      </c>
      <c r="F11" s="38"/>
      <c r="G11" s="38">
        <f>'MS TBVT-NN'!N20</f>
        <v>0</v>
      </c>
      <c r="H11" s="262"/>
    </row>
    <row r="12" spans="2:8" ht="36" customHeight="1">
      <c r="B12" s="33">
        <v>2</v>
      </c>
      <c r="C12" s="34" t="s">
        <v>935</v>
      </c>
      <c r="D12" s="35" t="s">
        <v>949</v>
      </c>
      <c r="E12" s="36"/>
      <c r="F12" s="36">
        <f>E12*Ts!$O$42</f>
        <v>0</v>
      </c>
      <c r="G12" s="36">
        <f>E12+F12</f>
        <v>0</v>
      </c>
      <c r="H12" s="262" t="s">
        <v>950</v>
      </c>
    </row>
    <row r="13" spans="2:8" ht="36" customHeight="1">
      <c r="B13" s="33">
        <v>3</v>
      </c>
      <c r="C13" s="34" t="s">
        <v>936</v>
      </c>
      <c r="D13" s="35" t="s">
        <v>949</v>
      </c>
      <c r="E13" s="36"/>
      <c r="F13" s="36">
        <f>E13*Ts!$O$42</f>
        <v>0</v>
      </c>
      <c r="G13" s="36">
        <f>E13+F13</f>
        <v>0</v>
      </c>
      <c r="H13" s="262" t="s">
        <v>709</v>
      </c>
    </row>
    <row r="14" spans="2:8" ht="47.25">
      <c r="B14" s="33">
        <v>4</v>
      </c>
      <c r="C14" s="34" t="s">
        <v>937</v>
      </c>
      <c r="D14" s="35" t="s">
        <v>48</v>
      </c>
      <c r="E14" s="38">
        <f>'CP ban quyen CN'!F11</f>
        <v>0</v>
      </c>
      <c r="F14" s="38">
        <f>'CP ban quyen CN'!G11</f>
        <v>0</v>
      </c>
      <c r="G14" s="38">
        <f>'CP ban quyen CN'!H11</f>
        <v>0</v>
      </c>
      <c r="H14" s="262" t="s">
        <v>710</v>
      </c>
    </row>
    <row r="15" spans="2:8" ht="36" customHeight="1">
      <c r="B15" s="33">
        <v>5</v>
      </c>
      <c r="C15" s="34" t="s">
        <v>938</v>
      </c>
      <c r="D15" s="35" t="s">
        <v>48</v>
      </c>
      <c r="E15" s="36">
        <f>'CP dao tao'!F20</f>
        <v>0</v>
      </c>
      <c r="F15" s="36">
        <f>'CP dao tao'!G20</f>
        <v>0</v>
      </c>
      <c r="G15" s="36">
        <f>'CP dao tao'!H20</f>
        <v>0</v>
      </c>
      <c r="H15" s="262" t="s">
        <v>628</v>
      </c>
    </row>
    <row r="16" spans="2:8" ht="36" customHeight="1">
      <c r="B16" s="33">
        <v>6</v>
      </c>
      <c r="C16" s="34" t="s">
        <v>939</v>
      </c>
      <c r="D16" s="35" t="s">
        <v>48</v>
      </c>
      <c r="E16" s="36">
        <f ca="1">E17+E18+E19+E20+E21</f>
        <v>0</v>
      </c>
      <c r="F16" s="36">
        <f t="shared" ref="F16:G16" ca="1" si="0">F17+F18+F19+F20+F21</f>
        <v>0</v>
      </c>
      <c r="G16" s="36">
        <f t="shared" ca="1" si="0"/>
        <v>0</v>
      </c>
      <c r="H16" s="262" t="s">
        <v>629</v>
      </c>
    </row>
    <row r="17" spans="2:8" ht="36" customHeight="1">
      <c r="B17" s="35" t="s">
        <v>325</v>
      </c>
      <c r="C17" s="37" t="s">
        <v>1434</v>
      </c>
      <c r="D17" s="35"/>
      <c r="E17" s="36">
        <f ca="1">'THCP Lap dat'!D24</f>
        <v>0</v>
      </c>
      <c r="F17" s="36">
        <f ca="1">'THCP Lap dat'!D25</f>
        <v>0</v>
      </c>
      <c r="G17" s="36">
        <f ca="1">'THCP Lap dat'!D26</f>
        <v>0</v>
      </c>
      <c r="H17" s="262"/>
    </row>
    <row r="18" spans="2:8" ht="36" customHeight="1">
      <c r="B18" s="35" t="s">
        <v>326</v>
      </c>
      <c r="C18" s="37" t="s">
        <v>1175</v>
      </c>
      <c r="D18" s="35" t="s">
        <v>48</v>
      </c>
      <c r="E18" s="36"/>
      <c r="F18" s="36"/>
      <c r="G18" s="36"/>
      <c r="H18" s="262"/>
    </row>
    <row r="19" spans="2:8" ht="36" customHeight="1">
      <c r="B19" s="35" t="s">
        <v>1179</v>
      </c>
      <c r="C19" s="37" t="s">
        <v>1176</v>
      </c>
      <c r="D19" s="35" t="s">
        <v>48</v>
      </c>
      <c r="E19" s="36"/>
      <c r="F19" s="36"/>
      <c r="G19" s="36"/>
      <c r="H19" s="262"/>
    </row>
    <row r="20" spans="2:8" ht="36" customHeight="1">
      <c r="B20" s="35" t="s">
        <v>1180</v>
      </c>
      <c r="C20" s="37" t="s">
        <v>1177</v>
      </c>
      <c r="D20" s="35" t="s">
        <v>48</v>
      </c>
      <c r="E20" s="36"/>
      <c r="F20" s="36"/>
      <c r="G20" s="36"/>
      <c r="H20" s="262"/>
    </row>
    <row r="21" spans="2:8" ht="36" customHeight="1">
      <c r="B21" s="35" t="s">
        <v>1435</v>
      </c>
      <c r="C21" s="37" t="s">
        <v>1178</v>
      </c>
      <c r="D21" s="35" t="s">
        <v>48</v>
      </c>
      <c r="E21" s="36"/>
      <c r="F21" s="36"/>
      <c r="G21" s="36"/>
      <c r="H21" s="262"/>
    </row>
    <row r="22" spans="2:8" ht="36" customHeight="1">
      <c r="B22" s="33">
        <v>7</v>
      </c>
      <c r="C22" s="34" t="s">
        <v>940</v>
      </c>
      <c r="D22" s="35" t="s">
        <v>48</v>
      </c>
      <c r="E22" s="36">
        <f>'CP chay thu TB'!F11</f>
        <v>0</v>
      </c>
      <c r="F22" s="36">
        <f>'CP chay thu TB'!G11</f>
        <v>0</v>
      </c>
      <c r="G22" s="36">
        <f>'CP chay thu TB'!H11</f>
        <v>0</v>
      </c>
      <c r="H22" s="262" t="s">
        <v>712</v>
      </c>
    </row>
    <row r="23" spans="2:8" ht="36" customHeight="1">
      <c r="B23" s="33">
        <v>8</v>
      </c>
      <c r="C23" s="34" t="s">
        <v>941</v>
      </c>
      <c r="D23" s="35" t="s">
        <v>949</v>
      </c>
      <c r="E23" s="36"/>
      <c r="F23" s="36"/>
      <c r="G23" s="36"/>
      <c r="H23" s="262" t="s">
        <v>951</v>
      </c>
    </row>
    <row r="24" spans="2:8" ht="21.95" customHeight="1">
      <c r="B24" s="33">
        <v>9</v>
      </c>
      <c r="C24" s="34" t="s">
        <v>942</v>
      </c>
      <c r="D24" s="35" t="s">
        <v>949</v>
      </c>
      <c r="E24" s="38"/>
      <c r="F24" s="38"/>
      <c r="G24" s="38"/>
      <c r="H24" s="262" t="s">
        <v>525</v>
      </c>
    </row>
    <row r="25" spans="2:8" ht="21.95" customHeight="1">
      <c r="B25" s="33"/>
      <c r="C25" s="117" t="s">
        <v>713</v>
      </c>
      <c r="D25" s="35"/>
      <c r="E25" s="36">
        <f ca="1">E6+E12+E13+E14+E15+E16+E22+E23+E24</f>
        <v>0</v>
      </c>
      <c r="F25" s="36">
        <f t="shared" ref="F25:G25" ca="1" si="1">F6+F12+F13+F14+F15+F16+F22+F23+F24</f>
        <v>0</v>
      </c>
      <c r="G25" s="36">
        <f t="shared" ca="1" si="1"/>
        <v>0</v>
      </c>
      <c r="H25" s="36"/>
    </row>
    <row r="26" spans="2:8" ht="18" customHeight="1">
      <c r="B26" s="1014"/>
      <c r="C26" s="1042" t="s">
        <v>630</v>
      </c>
      <c r="D26" s="207"/>
      <c r="E26" s="208">
        <f ca="1">ROUND(E25,-3)</f>
        <v>0</v>
      </c>
      <c r="F26" s="208">
        <f ca="1">ROUND(F25,-3)</f>
        <v>0</v>
      </c>
      <c r="G26" s="208">
        <f ca="1">ROUND(G25,-3)</f>
        <v>0</v>
      </c>
      <c r="H26" s="209" t="s">
        <v>631</v>
      </c>
    </row>
    <row r="27" spans="2:8" ht="20.100000000000001" customHeight="1">
      <c r="B27" s="118"/>
      <c r="C27" s="119"/>
      <c r="D27" s="69"/>
      <c r="E27" s="118"/>
      <c r="F27" s="120"/>
      <c r="G27" s="120"/>
      <c r="H27" s="120"/>
    </row>
    <row r="28" spans="2:8" ht="20.100000000000001" customHeight="1">
      <c r="B28" s="43"/>
      <c r="C28" s="44" t="s">
        <v>51</v>
      </c>
      <c r="D28" s="46" t="s">
        <v>52</v>
      </c>
      <c r="E28" s="46"/>
      <c r="F28" s="121"/>
      <c r="G28" s="121"/>
      <c r="H28" s="122"/>
    </row>
    <row r="29" spans="2:8" ht="20.100000000000001" customHeight="1">
      <c r="B29" s="43"/>
      <c r="C29" s="44"/>
      <c r="D29" s="46"/>
      <c r="E29" s="46"/>
      <c r="F29" s="121"/>
      <c r="G29" s="121"/>
      <c r="H29" s="122"/>
    </row>
    <row r="30" spans="2:8" ht="20.100000000000001" customHeight="1">
      <c r="B30" s="43"/>
      <c r="C30" s="44"/>
      <c r="D30" s="46"/>
      <c r="E30" s="46"/>
      <c r="F30" s="121"/>
      <c r="G30" s="121"/>
      <c r="H30" s="122"/>
    </row>
    <row r="31" spans="2:8" ht="20.100000000000001" customHeight="1">
      <c r="B31" s="43"/>
      <c r="C31" s="44"/>
      <c r="D31" s="46"/>
      <c r="E31" s="46"/>
      <c r="F31" s="121"/>
      <c r="G31" s="121"/>
      <c r="H31" s="122"/>
    </row>
    <row r="32" spans="2:8" ht="20.100000000000001" customHeight="1">
      <c r="B32" s="43"/>
      <c r="C32" s="44"/>
      <c r="D32" s="75" t="s">
        <v>335</v>
      </c>
      <c r="E32" s="47"/>
      <c r="F32" s="121"/>
      <c r="G32" s="121"/>
      <c r="H32" s="121"/>
    </row>
    <row r="33" spans="2:8" ht="20.100000000000001" customHeight="1">
      <c r="B33" s="118"/>
      <c r="C33" s="119"/>
      <c r="D33" s="69"/>
      <c r="E33" s="118"/>
      <c r="F33" s="120"/>
      <c r="G33" s="120"/>
      <c r="H33" s="120"/>
    </row>
  </sheetData>
  <phoneticPr fontId="60" type="noConversion"/>
  <printOptions horizontalCentered="1"/>
  <pageMargins left="0.75" right="0.25" top="0.5" bottom="0.5" header="0.25" footer="0.25"/>
  <pageSetup paperSize="9" orientation="landscape" blackAndWhite="1" horizontalDpi="300" verticalDpi="300" r:id="rId1"/>
  <headerFooter>
    <oddFooter>&amp;C&amp;P</oddFooter>
  </headerFooter>
  <ignoredErrors>
    <ignoredError sqref="C2:C4" unlockedFormula="1"/>
  </ignoredErrors>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tabColor theme="1" tint="0.34998626667073579"/>
  </sheetPr>
  <dimension ref="A1:AB42"/>
  <sheetViews>
    <sheetView zoomScaleNormal="100" zoomScaleSheetLayoutView="100" workbookViewId="0">
      <selection activeCell="I21" sqref="I21"/>
    </sheetView>
  </sheetViews>
  <sheetFormatPr defaultRowHeight="15"/>
  <cols>
    <col min="1" max="1" width="5.5703125" customWidth="1"/>
    <col min="2" max="2" width="10.42578125" customWidth="1"/>
    <col min="3" max="3" width="39" customWidth="1"/>
    <col min="4" max="4" width="7.85546875" customWidth="1"/>
    <col min="5" max="5" width="9.140625" customWidth="1"/>
    <col min="6" max="6" width="10.5703125" style="178" customWidth="1"/>
    <col min="7" max="7" width="16.5703125" style="178" customWidth="1"/>
    <col min="8" max="8" width="13.42578125" style="178" customWidth="1"/>
    <col min="9" max="9" width="16.5703125" style="178" customWidth="1"/>
    <col min="10" max="10" width="7.42578125" style="470" customWidth="1"/>
    <col min="11" max="11" width="28.140625" customWidth="1"/>
    <col min="13" max="13" width="9.5703125" customWidth="1"/>
    <col min="14" max="14" width="14.42578125" customWidth="1"/>
    <col min="15" max="15" width="16.5703125" customWidth="1"/>
    <col min="16" max="16" width="9.5703125" style="470" customWidth="1"/>
    <col min="17" max="17" width="23.140625" customWidth="1"/>
    <col min="20" max="20" width="32.42578125" customWidth="1"/>
    <col min="22" max="22" width="9.5703125" customWidth="1"/>
    <col min="23" max="23" width="17.85546875" customWidth="1"/>
    <col min="24" max="24" width="15.42578125" customWidth="1"/>
    <col min="25" max="25" width="15.140625" customWidth="1"/>
    <col min="26" max="26" width="18.85546875" customWidth="1"/>
  </cols>
  <sheetData>
    <row r="1" spans="1:28" ht="22.5">
      <c r="A1" s="257" t="s">
        <v>1352</v>
      </c>
      <c r="B1" s="115"/>
      <c r="C1" s="115"/>
      <c r="D1" s="115"/>
      <c r="E1" s="115"/>
      <c r="F1" s="116"/>
      <c r="G1" s="116"/>
      <c r="H1" s="116"/>
      <c r="I1" s="116"/>
      <c r="J1" s="781"/>
      <c r="K1" s="257"/>
      <c r="M1" s="257"/>
      <c r="N1" s="257"/>
      <c r="O1" s="257"/>
      <c r="P1" s="781"/>
      <c r="Q1" s="257"/>
      <c r="S1" s="257"/>
      <c r="T1" s="115"/>
      <c r="U1" s="115"/>
      <c r="V1" s="115"/>
      <c r="W1" s="116"/>
      <c r="X1" s="116"/>
      <c r="Y1" s="116"/>
      <c r="Z1" s="116"/>
    </row>
    <row r="2" spans="1:28"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6"/>
      <c r="C2" s="6"/>
      <c r="D2" s="6"/>
      <c r="E2" s="6"/>
      <c r="F2" s="48"/>
      <c r="G2" s="48"/>
      <c r="H2" s="48"/>
      <c r="I2" s="48"/>
      <c r="J2" s="334"/>
      <c r="K2" s="6"/>
      <c r="M2" s="6"/>
      <c r="N2" s="6"/>
      <c r="O2" s="6"/>
      <c r="P2" s="322"/>
      <c r="Q2" s="6"/>
      <c r="S2" s="3"/>
      <c r="T2" s="6"/>
      <c r="U2" s="6"/>
      <c r="V2" s="6"/>
      <c r="W2" s="48"/>
      <c r="X2" s="48"/>
      <c r="Y2" s="48"/>
      <c r="Z2" s="48"/>
    </row>
    <row r="3" spans="1:28" ht="22.15" customHeight="1">
      <c r="A3" s="1019" t="str">
        <f>'Bia-DTTB'!D43&amp;'Bia-DTTB'!E43</f>
        <v>HẠNG MỤC: MẪU NO-01-110-2-TCL</v>
      </c>
      <c r="B3" s="6"/>
      <c r="C3" s="6"/>
      <c r="D3" s="6"/>
      <c r="E3" s="6"/>
      <c r="F3" s="48"/>
      <c r="G3" s="48"/>
      <c r="H3" s="48"/>
      <c r="I3" s="48"/>
      <c r="J3" s="334"/>
      <c r="K3" s="6"/>
    </row>
    <row r="4" spans="1:28">
      <c r="A4" s="30"/>
      <c r="C4" s="30"/>
      <c r="D4" s="30"/>
      <c r="E4" s="30"/>
      <c r="F4" s="31"/>
      <c r="G4" s="31"/>
      <c r="H4" s="31"/>
      <c r="I4" s="162" t="s">
        <v>310</v>
      </c>
      <c r="J4" s="782"/>
      <c r="K4" s="731"/>
    </row>
    <row r="5" spans="1:28" ht="63">
      <c r="A5" s="142" t="s">
        <v>196</v>
      </c>
      <c r="B5" s="1041" t="s">
        <v>683</v>
      </c>
      <c r="C5" s="1032" t="s">
        <v>1181</v>
      </c>
      <c r="D5" s="1032" t="s">
        <v>146</v>
      </c>
      <c r="E5" s="1032" t="s">
        <v>136</v>
      </c>
      <c r="F5" s="1036" t="s">
        <v>152</v>
      </c>
      <c r="G5" s="1036" t="s">
        <v>153</v>
      </c>
      <c r="H5" s="1036" t="s">
        <v>46</v>
      </c>
      <c r="I5" s="1036" t="s">
        <v>154</v>
      </c>
      <c r="J5" s="1032" t="s">
        <v>1353</v>
      </c>
      <c r="K5" s="1032" t="s">
        <v>130</v>
      </c>
      <c r="M5" s="732"/>
      <c r="N5" s="732"/>
      <c r="O5" s="732"/>
      <c r="P5" s="118"/>
      <c r="Q5" s="732"/>
    </row>
    <row r="6" spans="1:28" s="284" customFormat="1" ht="31.5">
      <c r="A6" s="655" t="s">
        <v>73</v>
      </c>
      <c r="B6" s="1525"/>
      <c r="C6" s="1370" t="s">
        <v>1448</v>
      </c>
      <c r="D6" s="888"/>
      <c r="E6" s="316"/>
      <c r="F6" s="1526"/>
      <c r="G6" s="1526"/>
      <c r="H6" s="1526"/>
      <c r="I6" s="1526"/>
      <c r="J6" s="377"/>
      <c r="K6" s="375"/>
      <c r="M6"/>
      <c r="N6"/>
      <c r="O6"/>
      <c r="P6" s="470"/>
      <c r="Q6"/>
      <c r="R6"/>
      <c r="S6"/>
      <c r="T6"/>
      <c r="U6"/>
      <c r="V6"/>
      <c r="W6"/>
      <c r="X6"/>
      <c r="Y6"/>
      <c r="Z6"/>
      <c r="AA6"/>
      <c r="AB6"/>
    </row>
    <row r="7" spans="1:28" s="349" customFormat="1" ht="15.75">
      <c r="A7" s="33">
        <v>1</v>
      </c>
      <c r="B7" s="259"/>
      <c r="C7" s="34" t="s">
        <v>1360</v>
      </c>
      <c r="D7" s="50"/>
      <c r="E7" s="351"/>
      <c r="F7" s="38"/>
      <c r="G7" s="1538">
        <f>SUM(G8:G12)</f>
        <v>0</v>
      </c>
      <c r="H7" s="1538">
        <f t="shared" ref="H7:I7" si="0">SUM(H8:H12)</f>
        <v>0</v>
      </c>
      <c r="I7" s="1538">
        <f t="shared" si="0"/>
        <v>0</v>
      </c>
      <c r="J7" s="1539">
        <v>0.1</v>
      </c>
      <c r="K7" s="1270"/>
      <c r="M7"/>
      <c r="N7"/>
      <c r="O7"/>
      <c r="P7" s="470"/>
      <c r="Q7"/>
      <c r="R7"/>
      <c r="S7"/>
      <c r="T7"/>
      <c r="U7"/>
      <c r="V7"/>
      <c r="W7"/>
      <c r="X7"/>
      <c r="Y7"/>
      <c r="Z7"/>
      <c r="AA7"/>
      <c r="AB7"/>
    </row>
    <row r="8" spans="1:28" s="349" customFormat="1" ht="15.75">
      <c r="A8" s="35"/>
      <c r="B8" s="351"/>
      <c r="C8" s="37"/>
      <c r="D8" s="50"/>
      <c r="E8" s="351"/>
      <c r="F8" s="38"/>
      <c r="G8" s="38"/>
      <c r="H8" s="38"/>
      <c r="I8" s="38"/>
      <c r="J8" s="302">
        <v>0.1</v>
      </c>
      <c r="K8" s="351"/>
      <c r="M8"/>
      <c r="N8"/>
      <c r="O8"/>
      <c r="P8" s="470"/>
      <c r="Q8"/>
      <c r="R8"/>
      <c r="S8"/>
      <c r="T8"/>
      <c r="U8"/>
      <c r="V8"/>
      <c r="W8"/>
      <c r="X8"/>
      <c r="Y8"/>
      <c r="Z8"/>
      <c r="AA8"/>
      <c r="AB8"/>
    </row>
    <row r="9" spans="1:28" s="349" customFormat="1" ht="15.75">
      <c r="A9" s="35"/>
      <c r="B9" s="351"/>
      <c r="C9" s="37"/>
      <c r="D9" s="50"/>
      <c r="E9" s="351"/>
      <c r="F9" s="38"/>
      <c r="G9" s="38"/>
      <c r="H9" s="38"/>
      <c r="I9" s="38"/>
      <c r="J9" s="302">
        <v>0.1</v>
      </c>
      <c r="K9" s="351"/>
      <c r="M9"/>
      <c r="N9"/>
      <c r="O9"/>
      <c r="P9" s="470"/>
      <c r="Q9"/>
      <c r="R9"/>
      <c r="S9"/>
      <c r="T9"/>
      <c r="U9"/>
      <c r="V9"/>
      <c r="W9"/>
      <c r="X9"/>
      <c r="Y9"/>
      <c r="Z9"/>
      <c r="AA9"/>
      <c r="AB9"/>
    </row>
    <row r="10" spans="1:28" s="349" customFormat="1" ht="15.75">
      <c r="A10" s="35"/>
      <c r="B10" s="351"/>
      <c r="C10" s="37"/>
      <c r="D10" s="50"/>
      <c r="E10" s="351"/>
      <c r="F10" s="38"/>
      <c r="G10" s="38"/>
      <c r="H10" s="38"/>
      <c r="I10" s="38"/>
      <c r="J10" s="302">
        <v>0.1</v>
      </c>
      <c r="K10" s="351"/>
      <c r="M10"/>
      <c r="N10"/>
      <c r="O10"/>
      <c r="P10" s="470"/>
      <c r="Q10"/>
      <c r="R10"/>
      <c r="S10"/>
      <c r="T10"/>
      <c r="U10"/>
      <c r="V10"/>
      <c r="W10"/>
      <c r="X10"/>
      <c r="Y10"/>
      <c r="Z10"/>
      <c r="AA10"/>
      <c r="AB10"/>
    </row>
    <row r="11" spans="1:28" s="349" customFormat="1" ht="15.75">
      <c r="A11" s="35"/>
      <c r="B11" s="351"/>
      <c r="C11" s="37"/>
      <c r="D11" s="50"/>
      <c r="E11" s="351"/>
      <c r="F11" s="38"/>
      <c r="G11" s="38"/>
      <c r="H11" s="38"/>
      <c r="I11" s="38"/>
      <c r="J11" s="302">
        <v>0.1</v>
      </c>
      <c r="K11" s="351"/>
      <c r="M11"/>
      <c r="N11"/>
      <c r="O11"/>
      <c r="P11" s="470"/>
      <c r="Q11"/>
      <c r="R11"/>
      <c r="S11"/>
      <c r="T11"/>
      <c r="U11"/>
      <c r="V11"/>
      <c r="W11"/>
      <c r="X11"/>
      <c r="Y11"/>
      <c r="Z11"/>
      <c r="AA11"/>
      <c r="AB11"/>
    </row>
    <row r="12" spans="1:28" s="349" customFormat="1" ht="15.75">
      <c r="A12" s="35"/>
      <c r="B12" s="351"/>
      <c r="C12" s="37"/>
      <c r="D12" s="50"/>
      <c r="E12" s="351"/>
      <c r="F12" s="38"/>
      <c r="G12" s="38"/>
      <c r="H12" s="38"/>
      <c r="I12" s="38"/>
      <c r="J12" s="302">
        <v>0.1</v>
      </c>
      <c r="K12" s="351"/>
      <c r="M12"/>
      <c r="N12"/>
      <c r="O12"/>
      <c r="P12" s="470"/>
      <c r="Q12"/>
      <c r="R12"/>
      <c r="S12"/>
      <c r="T12"/>
      <c r="U12"/>
      <c r="V12"/>
      <c r="W12"/>
      <c r="X12"/>
      <c r="Y12"/>
      <c r="Z12"/>
      <c r="AA12"/>
      <c r="AB12"/>
    </row>
    <row r="13" spans="1:28" s="349" customFormat="1" ht="15.75">
      <c r="A13" s="33">
        <v>2</v>
      </c>
      <c r="B13" s="259"/>
      <c r="C13" s="34" t="s">
        <v>1361</v>
      </c>
      <c r="D13" s="39"/>
      <c r="E13" s="259"/>
      <c r="F13" s="36"/>
      <c r="G13" s="36">
        <f>SUM(G14:G19)</f>
        <v>0</v>
      </c>
      <c r="H13" s="36">
        <f t="shared" ref="H13:I13" si="1">SUM(H14:H19)</f>
        <v>0</v>
      </c>
      <c r="I13" s="36">
        <f t="shared" si="1"/>
        <v>0</v>
      </c>
      <c r="J13" s="302"/>
      <c r="K13" s="351"/>
      <c r="M13"/>
      <c r="N13"/>
      <c r="O13"/>
      <c r="P13" s="470"/>
      <c r="Q13"/>
      <c r="R13"/>
      <c r="S13"/>
      <c r="T13"/>
      <c r="U13"/>
      <c r="V13"/>
      <c r="W13"/>
      <c r="X13"/>
      <c r="Y13"/>
      <c r="Z13"/>
      <c r="AA13"/>
      <c r="AB13"/>
    </row>
    <row r="14" spans="1:28" s="349" customFormat="1" ht="15.75">
      <c r="A14" s="35"/>
      <c r="B14" s="351"/>
      <c r="C14" s="37"/>
      <c r="D14" s="50"/>
      <c r="E14" s="351"/>
      <c r="F14" s="38"/>
      <c r="G14" s="38"/>
      <c r="H14" s="38"/>
      <c r="I14" s="38"/>
      <c r="J14" s="302">
        <v>0.1</v>
      </c>
      <c r="K14" s="351"/>
      <c r="M14"/>
      <c r="N14"/>
      <c r="O14"/>
      <c r="P14" s="470"/>
      <c r="Q14"/>
      <c r="R14"/>
      <c r="S14"/>
      <c r="T14"/>
      <c r="U14"/>
      <c r="V14"/>
      <c r="W14"/>
      <c r="X14"/>
      <c r="Y14"/>
      <c r="Z14"/>
      <c r="AA14"/>
      <c r="AB14"/>
    </row>
    <row r="15" spans="1:28" s="349" customFormat="1" ht="15.75">
      <c r="A15" s="35"/>
      <c r="B15" s="351"/>
      <c r="C15" s="37"/>
      <c r="D15" s="50"/>
      <c r="E15" s="351"/>
      <c r="F15" s="38"/>
      <c r="G15" s="38"/>
      <c r="H15" s="38"/>
      <c r="I15" s="38"/>
      <c r="J15" s="302">
        <v>0.1</v>
      </c>
      <c r="K15" s="351"/>
      <c r="M15"/>
      <c r="N15"/>
      <c r="O15"/>
      <c r="P15" s="470"/>
      <c r="Q15"/>
      <c r="R15"/>
      <c r="S15"/>
      <c r="T15"/>
      <c r="U15"/>
      <c r="V15"/>
      <c r="W15"/>
      <c r="X15"/>
      <c r="Y15"/>
      <c r="Z15"/>
      <c r="AA15"/>
      <c r="AB15"/>
    </row>
    <row r="16" spans="1:28" s="349" customFormat="1" ht="15.75">
      <c r="A16" s="35"/>
      <c r="B16" s="351"/>
      <c r="C16" s="37"/>
      <c r="D16" s="50"/>
      <c r="E16" s="351"/>
      <c r="F16" s="38"/>
      <c r="G16" s="38"/>
      <c r="H16" s="38"/>
      <c r="I16" s="38"/>
      <c r="J16" s="302">
        <v>0.1</v>
      </c>
      <c r="K16" s="351"/>
      <c r="M16"/>
      <c r="N16"/>
      <c r="O16"/>
      <c r="P16" s="470"/>
      <c r="Q16"/>
      <c r="R16"/>
      <c r="S16"/>
      <c r="T16"/>
      <c r="U16"/>
      <c r="V16"/>
      <c r="W16"/>
      <c r="X16"/>
      <c r="Y16"/>
      <c r="Z16"/>
      <c r="AA16"/>
      <c r="AB16"/>
    </row>
    <row r="17" spans="1:28" s="349" customFormat="1" ht="15.75">
      <c r="A17" s="35"/>
      <c r="B17" s="351"/>
      <c r="C17" s="37"/>
      <c r="D17" s="50"/>
      <c r="E17" s="351"/>
      <c r="F17" s="38"/>
      <c r="G17" s="38"/>
      <c r="H17" s="38"/>
      <c r="I17" s="38"/>
      <c r="J17" s="302">
        <v>0.1</v>
      </c>
      <c r="K17" s="351"/>
      <c r="M17"/>
      <c r="N17"/>
      <c r="O17"/>
      <c r="P17" s="470"/>
      <c r="Q17"/>
      <c r="R17"/>
      <c r="S17"/>
      <c r="T17"/>
      <c r="U17"/>
      <c r="V17"/>
      <c r="W17"/>
      <c r="X17"/>
      <c r="Y17"/>
      <c r="Z17"/>
      <c r="AA17"/>
      <c r="AB17"/>
    </row>
    <row r="18" spans="1:28" s="349" customFormat="1" ht="15.75">
      <c r="A18" s="35"/>
      <c r="B18" s="351"/>
      <c r="C18" s="37"/>
      <c r="D18" s="50"/>
      <c r="E18" s="351"/>
      <c r="F18" s="38"/>
      <c r="G18" s="38"/>
      <c r="H18" s="38"/>
      <c r="I18" s="38"/>
      <c r="J18" s="302">
        <v>0.1</v>
      </c>
      <c r="K18" s="351"/>
      <c r="M18"/>
      <c r="N18"/>
      <c r="O18"/>
      <c r="P18" s="470"/>
      <c r="Q18"/>
      <c r="R18"/>
      <c r="S18"/>
      <c r="T18"/>
      <c r="U18"/>
      <c r="V18"/>
      <c r="W18"/>
      <c r="X18"/>
      <c r="Y18"/>
      <c r="Z18"/>
      <c r="AA18"/>
      <c r="AB18"/>
    </row>
    <row r="19" spans="1:28" s="349" customFormat="1" ht="15.75">
      <c r="A19" s="137"/>
      <c r="B19" s="660"/>
      <c r="C19" s="1541"/>
      <c r="D19" s="1067"/>
      <c r="E19" s="660"/>
      <c r="F19" s="1542"/>
      <c r="G19" s="1542"/>
      <c r="H19" s="1542"/>
      <c r="I19" s="1542"/>
      <c r="J19" s="1543">
        <v>0.1</v>
      </c>
      <c r="K19" s="660"/>
      <c r="M19"/>
      <c r="N19"/>
      <c r="O19"/>
      <c r="P19" s="470"/>
      <c r="Q19"/>
      <c r="R19"/>
      <c r="S19"/>
      <c r="T19"/>
      <c r="U19"/>
      <c r="V19"/>
      <c r="W19"/>
      <c r="X19"/>
      <c r="Y19"/>
      <c r="Z19"/>
      <c r="AA19"/>
      <c r="AB19"/>
    </row>
    <row r="20" spans="1:28" s="349" customFormat="1" ht="31.5">
      <c r="A20" s="655" t="s">
        <v>75</v>
      </c>
      <c r="B20" s="316"/>
      <c r="C20" s="663" t="s">
        <v>1337</v>
      </c>
      <c r="D20" s="888"/>
      <c r="E20" s="316"/>
      <c r="F20" s="1526"/>
      <c r="G20" s="1526"/>
      <c r="H20" s="1526"/>
      <c r="I20" s="1526"/>
      <c r="J20" s="377"/>
      <c r="K20" s="375"/>
      <c r="M20"/>
      <c r="N20"/>
      <c r="O20"/>
      <c r="P20" s="470"/>
      <c r="Q20"/>
      <c r="R20"/>
      <c r="S20"/>
      <c r="T20"/>
      <c r="U20"/>
      <c r="V20"/>
      <c r="W20"/>
      <c r="X20"/>
      <c r="Y20"/>
      <c r="Z20"/>
      <c r="AA20"/>
      <c r="AB20"/>
    </row>
    <row r="21" spans="1:28" s="349" customFormat="1" ht="15.75">
      <c r="A21" s="33">
        <v>1</v>
      </c>
      <c r="B21" s="259"/>
      <c r="C21" s="34" t="s">
        <v>1362</v>
      </c>
      <c r="D21" s="39"/>
      <c r="E21" s="259"/>
      <c r="F21" s="36"/>
      <c r="G21" s="36">
        <f>SUM(G22:G27)</f>
        <v>0</v>
      </c>
      <c r="H21" s="36">
        <f t="shared" ref="H21:I21" si="2">SUM(H22:H27)</f>
        <v>0</v>
      </c>
      <c r="I21" s="36">
        <f t="shared" si="2"/>
        <v>0</v>
      </c>
      <c r="J21" s="302"/>
      <c r="K21" s="351"/>
      <c r="M21"/>
      <c r="N21"/>
      <c r="O21"/>
      <c r="P21" s="470"/>
      <c r="Q21"/>
      <c r="R21"/>
      <c r="S21"/>
      <c r="T21"/>
      <c r="U21"/>
      <c r="V21"/>
      <c r="W21"/>
      <c r="X21"/>
      <c r="Y21"/>
      <c r="Z21"/>
      <c r="AA21"/>
      <c r="AB21"/>
    </row>
    <row r="22" spans="1:28" s="349" customFormat="1" ht="15.75">
      <c r="A22" s="35"/>
      <c r="B22" s="351"/>
      <c r="C22" s="37"/>
      <c r="D22" s="50"/>
      <c r="E22" s="351"/>
      <c r="F22" s="38"/>
      <c r="G22" s="38"/>
      <c r="H22" s="38"/>
      <c r="I22" s="38"/>
      <c r="J22" s="302">
        <v>0.1</v>
      </c>
      <c r="K22" s="351"/>
      <c r="M22"/>
      <c r="N22"/>
      <c r="O22"/>
      <c r="P22" s="470"/>
      <c r="Q22"/>
      <c r="R22"/>
      <c r="S22"/>
      <c r="T22"/>
      <c r="U22"/>
      <c r="V22"/>
      <c r="W22"/>
      <c r="X22"/>
      <c r="Y22"/>
      <c r="Z22"/>
      <c r="AA22"/>
      <c r="AB22"/>
    </row>
    <row r="23" spans="1:28" s="349" customFormat="1" ht="15.75">
      <c r="A23" s="35"/>
      <c r="B23" s="351"/>
      <c r="C23" s="37"/>
      <c r="D23" s="50"/>
      <c r="E23" s="351"/>
      <c r="F23" s="38"/>
      <c r="G23" s="38"/>
      <c r="H23" s="38"/>
      <c r="I23" s="38"/>
      <c r="J23" s="302">
        <v>0.1</v>
      </c>
      <c r="K23" s="351"/>
      <c r="M23"/>
      <c r="N23"/>
      <c r="O23"/>
      <c r="P23" s="470"/>
      <c r="Q23"/>
      <c r="R23"/>
      <c r="S23"/>
      <c r="T23"/>
      <c r="U23"/>
      <c r="V23"/>
      <c r="W23"/>
      <c r="X23"/>
      <c r="Y23"/>
      <c r="Z23"/>
      <c r="AA23"/>
      <c r="AB23"/>
    </row>
    <row r="24" spans="1:28" s="349" customFormat="1" ht="15.75">
      <c r="A24" s="35"/>
      <c r="B24" s="351"/>
      <c r="C24" s="37"/>
      <c r="D24" s="50"/>
      <c r="E24" s="351"/>
      <c r="F24" s="38"/>
      <c r="G24" s="38"/>
      <c r="H24" s="38"/>
      <c r="I24" s="38"/>
      <c r="J24" s="302">
        <v>0.1</v>
      </c>
      <c r="K24" s="351"/>
      <c r="M24"/>
      <c r="N24"/>
      <c r="O24"/>
      <c r="P24" s="470"/>
      <c r="Q24"/>
      <c r="R24"/>
      <c r="S24"/>
      <c r="T24"/>
      <c r="U24"/>
      <c r="V24"/>
      <c r="W24"/>
      <c r="X24"/>
      <c r="Y24"/>
      <c r="Z24"/>
      <c r="AA24"/>
      <c r="AB24"/>
    </row>
    <row r="25" spans="1:28" s="349" customFormat="1" ht="15.75">
      <c r="A25" s="35"/>
      <c r="B25" s="351"/>
      <c r="C25" s="37"/>
      <c r="D25" s="50"/>
      <c r="E25" s="351"/>
      <c r="F25" s="38"/>
      <c r="G25" s="38"/>
      <c r="H25" s="38"/>
      <c r="I25" s="38"/>
      <c r="J25" s="302">
        <v>0.1</v>
      </c>
      <c r="K25" s="351"/>
      <c r="M25"/>
      <c r="N25"/>
      <c r="O25"/>
      <c r="P25" s="470"/>
      <c r="Q25"/>
      <c r="R25"/>
      <c r="S25"/>
      <c r="T25"/>
      <c r="U25"/>
      <c r="V25"/>
      <c r="W25"/>
      <c r="X25"/>
      <c r="Y25"/>
      <c r="Z25"/>
      <c r="AA25"/>
      <c r="AB25"/>
    </row>
    <row r="26" spans="1:28" s="672" customFormat="1" ht="15.75">
      <c r="A26" s="35"/>
      <c r="B26" s="351"/>
      <c r="C26" s="37"/>
      <c r="D26" s="50"/>
      <c r="E26" s="351"/>
      <c r="F26" s="38"/>
      <c r="G26" s="38"/>
      <c r="H26" s="38"/>
      <c r="I26" s="38"/>
      <c r="J26" s="302">
        <v>0.1</v>
      </c>
      <c r="K26" s="351"/>
      <c r="M26"/>
      <c r="N26"/>
      <c r="O26"/>
      <c r="P26" s="470"/>
      <c r="Q26"/>
      <c r="R26"/>
      <c r="S26"/>
      <c r="T26"/>
      <c r="U26"/>
      <c r="V26"/>
      <c r="W26"/>
      <c r="X26"/>
      <c r="Y26"/>
      <c r="Z26"/>
      <c r="AA26"/>
      <c r="AB26"/>
    </row>
    <row r="27" spans="1:28" s="672" customFormat="1" ht="15.75">
      <c r="A27" s="35"/>
      <c r="B27" s="351"/>
      <c r="C27" s="37"/>
      <c r="D27" s="50"/>
      <c r="E27" s="351"/>
      <c r="F27" s="38"/>
      <c r="G27" s="38"/>
      <c r="H27" s="38"/>
      <c r="I27" s="38"/>
      <c r="J27" s="302">
        <v>0.1</v>
      </c>
      <c r="K27" s="351"/>
      <c r="M27"/>
      <c r="N27"/>
      <c r="O27"/>
      <c r="P27" s="470"/>
      <c r="Q27"/>
      <c r="R27"/>
      <c r="S27"/>
      <c r="T27"/>
      <c r="U27"/>
      <c r="V27"/>
      <c r="W27"/>
      <c r="X27"/>
      <c r="Y27"/>
      <c r="Z27"/>
      <c r="AA27"/>
      <c r="AB27"/>
    </row>
    <row r="28" spans="1:28" s="672" customFormat="1" ht="15.75">
      <c r="A28" s="33">
        <v>2</v>
      </c>
      <c r="B28" s="259"/>
      <c r="C28" s="34" t="s">
        <v>1363</v>
      </c>
      <c r="D28" s="39"/>
      <c r="E28" s="259"/>
      <c r="F28" s="36"/>
      <c r="G28" s="36">
        <f>SUM(G29:G34)</f>
        <v>0</v>
      </c>
      <c r="H28" s="36">
        <f t="shared" ref="H28:I28" si="3">SUM(H29:H34)</f>
        <v>0</v>
      </c>
      <c r="I28" s="36">
        <f t="shared" si="3"/>
        <v>0</v>
      </c>
      <c r="J28" s="302"/>
      <c r="K28" s="351"/>
      <c r="M28"/>
      <c r="N28"/>
      <c r="O28"/>
      <c r="P28" s="470"/>
      <c r="Q28"/>
      <c r="R28"/>
      <c r="S28"/>
      <c r="T28"/>
      <c r="U28"/>
      <c r="V28"/>
      <c r="W28"/>
      <c r="X28"/>
      <c r="Y28"/>
      <c r="Z28"/>
      <c r="AA28"/>
      <c r="AB28"/>
    </row>
    <row r="29" spans="1:28" s="672" customFormat="1" ht="15.75">
      <c r="A29" s="35"/>
      <c r="B29" s="351"/>
      <c r="C29" s="37"/>
      <c r="D29" s="50"/>
      <c r="E29" s="351"/>
      <c r="F29" s="38"/>
      <c r="G29" s="38"/>
      <c r="H29" s="38"/>
      <c r="I29" s="38"/>
      <c r="J29" s="302">
        <v>0.1</v>
      </c>
      <c r="K29" s="351"/>
      <c r="M29"/>
      <c r="N29"/>
      <c r="O29"/>
      <c r="P29" s="470"/>
      <c r="Q29"/>
      <c r="R29"/>
      <c r="S29"/>
      <c r="T29"/>
      <c r="U29"/>
      <c r="V29"/>
      <c r="W29"/>
      <c r="X29"/>
      <c r="Y29"/>
      <c r="Z29"/>
      <c r="AA29"/>
      <c r="AB29"/>
    </row>
    <row r="30" spans="1:28" s="672" customFormat="1" ht="15.75">
      <c r="A30" s="35"/>
      <c r="B30" s="351"/>
      <c r="C30" s="37"/>
      <c r="D30" s="50"/>
      <c r="E30" s="351"/>
      <c r="F30" s="38"/>
      <c r="G30" s="38"/>
      <c r="H30" s="38"/>
      <c r="I30" s="38"/>
      <c r="J30" s="302">
        <v>0.1</v>
      </c>
      <c r="K30" s="351"/>
      <c r="M30"/>
      <c r="N30"/>
      <c r="O30"/>
      <c r="P30" s="470"/>
      <c r="Q30"/>
      <c r="R30"/>
      <c r="S30"/>
      <c r="T30"/>
      <c r="U30"/>
      <c r="V30"/>
      <c r="W30"/>
      <c r="X30"/>
      <c r="Y30"/>
      <c r="Z30"/>
      <c r="AA30"/>
      <c r="AB30"/>
    </row>
    <row r="31" spans="1:28" s="672" customFormat="1" ht="15.75">
      <c r="A31" s="35"/>
      <c r="B31" s="351"/>
      <c r="C31" s="37"/>
      <c r="D31" s="50"/>
      <c r="E31" s="351"/>
      <c r="F31" s="38"/>
      <c r="G31" s="38"/>
      <c r="H31" s="38"/>
      <c r="I31" s="38"/>
      <c r="J31" s="302">
        <v>0.1</v>
      </c>
      <c r="K31" s="351"/>
      <c r="M31"/>
      <c r="N31"/>
      <c r="O31"/>
      <c r="P31" s="470"/>
      <c r="Q31"/>
      <c r="R31"/>
      <c r="S31"/>
      <c r="T31"/>
      <c r="U31"/>
      <c r="V31"/>
      <c r="W31"/>
      <c r="X31"/>
      <c r="Y31"/>
      <c r="Z31"/>
      <c r="AA31"/>
      <c r="AB31"/>
    </row>
    <row r="32" spans="1:28" s="672" customFormat="1" ht="15.75">
      <c r="A32" s="35"/>
      <c r="B32" s="351"/>
      <c r="C32" s="37"/>
      <c r="D32" s="50"/>
      <c r="E32" s="351"/>
      <c r="F32" s="38"/>
      <c r="G32" s="38"/>
      <c r="H32" s="38"/>
      <c r="I32" s="38"/>
      <c r="J32" s="302">
        <v>0.1</v>
      </c>
      <c r="K32" s="351"/>
      <c r="M32"/>
      <c r="N32"/>
      <c r="O32"/>
      <c r="P32" s="470"/>
      <c r="Q32"/>
      <c r="R32"/>
      <c r="S32"/>
      <c r="T32"/>
      <c r="U32"/>
      <c r="V32"/>
      <c r="W32"/>
      <c r="X32"/>
      <c r="Y32"/>
      <c r="Z32"/>
      <c r="AA32"/>
      <c r="AB32"/>
    </row>
    <row r="33" spans="1:28" s="672" customFormat="1" ht="15.75">
      <c r="A33" s="35"/>
      <c r="B33" s="351"/>
      <c r="C33" s="37"/>
      <c r="D33" s="50"/>
      <c r="E33" s="351"/>
      <c r="F33" s="38"/>
      <c r="G33" s="38"/>
      <c r="H33" s="38"/>
      <c r="I33" s="38"/>
      <c r="J33" s="302">
        <v>0.1</v>
      </c>
      <c r="K33" s="351"/>
      <c r="M33"/>
      <c r="N33"/>
      <c r="O33"/>
      <c r="P33" s="470"/>
      <c r="Q33"/>
      <c r="R33"/>
      <c r="S33"/>
      <c r="T33"/>
      <c r="U33"/>
      <c r="V33"/>
      <c r="W33"/>
      <c r="X33"/>
      <c r="Y33"/>
      <c r="Z33"/>
      <c r="AA33"/>
      <c r="AB33"/>
    </row>
    <row r="34" spans="1:28" s="672" customFormat="1" ht="15.75">
      <c r="A34" s="35"/>
      <c r="B34" s="351"/>
      <c r="C34" s="37"/>
      <c r="D34" s="50"/>
      <c r="E34" s="351"/>
      <c r="F34" s="38"/>
      <c r="G34" s="38"/>
      <c r="H34" s="38"/>
      <c r="I34" s="38"/>
      <c r="J34" s="302">
        <v>0.1</v>
      </c>
      <c r="K34" s="351"/>
      <c r="M34"/>
      <c r="N34"/>
      <c r="O34"/>
      <c r="P34" s="470"/>
      <c r="Q34"/>
      <c r="R34"/>
      <c r="S34"/>
      <c r="T34"/>
      <c r="U34"/>
      <c r="V34"/>
      <c r="W34"/>
      <c r="X34"/>
      <c r="Y34"/>
      <c r="Z34"/>
      <c r="AA34"/>
      <c r="AB34"/>
    </row>
    <row r="35" spans="1:28" ht="15.75">
      <c r="A35" s="1528"/>
      <c r="B35" s="1529"/>
      <c r="C35" s="1530"/>
      <c r="D35" s="1531"/>
      <c r="E35" s="1531"/>
      <c r="F35" s="1532"/>
      <c r="G35" s="1533"/>
      <c r="H35" s="1533"/>
      <c r="I35" s="1533"/>
      <c r="J35" s="1532"/>
      <c r="K35" s="1534"/>
    </row>
    <row r="36" spans="1:28" ht="15.75">
      <c r="A36" s="43"/>
      <c r="C36" s="44"/>
      <c r="D36" s="44"/>
      <c r="E36" s="43"/>
      <c r="F36" s="174"/>
      <c r="G36" s="174"/>
      <c r="H36" s="45"/>
      <c r="I36" s="45"/>
      <c r="J36" s="177"/>
      <c r="K36" s="732"/>
    </row>
    <row r="37" spans="1:28" ht="15.75">
      <c r="A37" s="43"/>
      <c r="C37" s="44" t="s">
        <v>51</v>
      </c>
      <c r="D37" s="44"/>
      <c r="E37" s="46" t="s">
        <v>52</v>
      </c>
      <c r="F37" s="46"/>
      <c r="G37" s="46"/>
      <c r="H37" s="175"/>
      <c r="I37" s="175"/>
    </row>
    <row r="38" spans="1:28" ht="15.75">
      <c r="A38" s="43"/>
      <c r="C38" s="44"/>
      <c r="D38" s="44"/>
      <c r="E38" s="46"/>
      <c r="F38" s="46"/>
      <c r="G38" s="46"/>
      <c r="H38" s="175"/>
      <c r="I38" s="175"/>
    </row>
    <row r="39" spans="1:28" ht="15.75">
      <c r="A39" s="43"/>
      <c r="C39" s="629"/>
      <c r="D39" s="44"/>
      <c r="E39" s="46"/>
      <c r="F39" s="46"/>
      <c r="G39" s="46"/>
      <c r="H39" s="175"/>
      <c r="I39" s="175"/>
    </row>
    <row r="40" spans="1:28" ht="15.75">
      <c r="A40" s="43"/>
      <c r="C40" s="44"/>
      <c r="D40" s="44"/>
      <c r="E40" s="46"/>
      <c r="F40" s="46"/>
      <c r="G40" s="46"/>
      <c r="H40" s="175"/>
      <c r="I40" s="175"/>
    </row>
    <row r="41" spans="1:28" ht="15.75">
      <c r="A41" s="43"/>
      <c r="C41" s="44"/>
      <c r="D41" s="44"/>
      <c r="E41" s="47" t="s">
        <v>53</v>
      </c>
      <c r="F41" s="46"/>
      <c r="G41" s="46"/>
      <c r="H41" s="175"/>
      <c r="I41" s="175"/>
    </row>
    <row r="42" spans="1:28" ht="15.75">
      <c r="A42" s="118"/>
      <c r="C42" s="119"/>
      <c r="D42" s="119"/>
      <c r="E42" s="69"/>
      <c r="F42" s="176"/>
      <c r="G42" s="177"/>
      <c r="H42" s="120"/>
      <c r="I42" s="120"/>
      <c r="J42" s="177"/>
      <c r="K42" s="732"/>
    </row>
  </sheetData>
  <phoneticPr fontId="60" type="noConversion"/>
  <dataValidations xWindow="65" yWindow="515" count="2">
    <dataValidation allowBlank="1" showInputMessage="1" showErrorMessage="1" promptTitle="Nhập từ khóa để tra tên thiết bị" prompt="Ví dụ: điều+hòa; biến+áp" sqref="B7"/>
    <dataValidation allowBlank="1" showInputMessage="1" showErrorMessage="1" promptTitle="Vật tư phục vụ xây dựng" prompt="Sẽ tổng hợp vào chi phí xây dựng" sqref="C20"/>
  </dataValidations>
  <printOptions horizontalCentered="1"/>
  <pageMargins left="0.74803149606299202" right="0.23622047244094499" top="0.511811023622047" bottom="0.511811023622047" header="0.23622047244094499" footer="0.23622047244094499"/>
  <pageSetup paperSize="9" orientation="landscape" blackAndWhite="1" horizontalDpi="300" verticalDpi="300" r:id="rId1"/>
  <headerFooter>
    <oddHeader>&amp;L&amp;"+,nghiêng"&amp;10Dự toán GXD - www.giaxaydung.vn</oddHeader>
    <oddFooter>&amp;C&amp;P</oddFooter>
  </headerFooter>
  <ignoredErrors>
    <ignoredError sqref="A2:A3" unlockedFormula="1"/>
  </ignoredErrors>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1" tint="0.499984740745262"/>
  </sheetPr>
  <dimension ref="A1:AF52"/>
  <sheetViews>
    <sheetView topLeftCell="A13" zoomScaleNormal="100" workbookViewId="0">
      <selection activeCell="N5" sqref="N5:N6"/>
    </sheetView>
  </sheetViews>
  <sheetFormatPr defaultRowHeight="15"/>
  <cols>
    <col min="1" max="1" width="5.5703125" customWidth="1"/>
    <col min="2" max="2" width="10.42578125" customWidth="1"/>
    <col min="3" max="3" width="36.5703125" customWidth="1"/>
    <col min="4" max="4" width="7.85546875" customWidth="1"/>
    <col min="5" max="5" width="9.140625" customWidth="1"/>
    <col min="6" max="8" width="10.5703125" style="178" customWidth="1"/>
    <col min="9" max="9" width="15.42578125" style="178" customWidth="1"/>
    <col min="10" max="10" width="7.42578125" style="470" customWidth="1"/>
    <col min="11" max="11" width="12.5703125" style="178" customWidth="1"/>
    <col min="12" max="12" width="7.42578125" style="470" customWidth="1"/>
    <col min="13" max="13" width="13.42578125" style="178" customWidth="1"/>
    <col min="14" max="14" width="16.5703125" style="178" customWidth="1"/>
    <col min="15" max="15" width="28.140625" customWidth="1"/>
    <col min="17" max="17" width="9.5703125" customWidth="1"/>
    <col min="18" max="18" width="14.42578125" customWidth="1"/>
    <col min="19" max="19" width="16.5703125" customWidth="1"/>
    <col min="20" max="20" width="9.5703125" style="470" customWidth="1"/>
    <col min="21" max="21" width="23.140625" customWidth="1"/>
    <col min="24" max="24" width="32.42578125" customWidth="1"/>
    <col min="26" max="26" width="9.5703125" customWidth="1"/>
    <col min="27" max="27" width="17.85546875" customWidth="1"/>
    <col min="28" max="28" width="15.42578125" customWidth="1"/>
    <col min="29" max="29" width="15.140625" customWidth="1"/>
    <col min="30" max="30" width="18.85546875" customWidth="1"/>
  </cols>
  <sheetData>
    <row r="1" spans="1:32" ht="22.5">
      <c r="A1" s="257" t="s">
        <v>1342</v>
      </c>
      <c r="B1" s="115"/>
      <c r="C1" s="115"/>
      <c r="D1" s="115"/>
      <c r="E1" s="115"/>
      <c r="F1" s="116"/>
      <c r="G1" s="116"/>
      <c r="H1" s="116"/>
      <c r="I1" s="116"/>
      <c r="J1" s="116"/>
      <c r="K1" s="116"/>
      <c r="N1" s="116"/>
      <c r="O1" s="116"/>
      <c r="Q1" s="257"/>
      <c r="R1" s="257"/>
      <c r="S1" s="257"/>
      <c r="T1" s="781"/>
      <c r="U1" s="257"/>
      <c r="W1" s="257"/>
      <c r="X1" s="115"/>
      <c r="Y1" s="115"/>
      <c r="Z1" s="115"/>
      <c r="AA1" s="116"/>
      <c r="AB1" s="116"/>
      <c r="AC1" s="116"/>
      <c r="AD1" s="116"/>
    </row>
    <row r="2" spans="1:32"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6"/>
      <c r="C2" s="6"/>
      <c r="D2" s="6"/>
      <c r="E2" s="6"/>
      <c r="F2" s="48"/>
      <c r="G2" s="48"/>
      <c r="H2" s="48"/>
      <c r="I2" s="48"/>
      <c r="J2" s="48"/>
      <c r="K2" s="48"/>
      <c r="L2" s="334" t="s">
        <v>1355</v>
      </c>
      <c r="M2" s="48">
        <v>27436</v>
      </c>
      <c r="N2" s="792"/>
      <c r="O2" s="48"/>
      <c r="Q2" s="48"/>
      <c r="R2" s="6"/>
      <c r="S2" s="6"/>
      <c r="T2" s="322"/>
      <c r="U2" s="6"/>
      <c r="W2" s="3"/>
      <c r="X2" s="6"/>
      <c r="Y2" s="6"/>
      <c r="Z2" s="6"/>
      <c r="AA2" s="48"/>
      <c r="AB2" s="48"/>
      <c r="AC2" s="48"/>
      <c r="AD2" s="48"/>
    </row>
    <row r="3" spans="1:32" ht="22.15" customHeight="1">
      <c r="A3" s="1019" t="str">
        <f>'Bia-DTTB'!D43&amp;'Bia-DTTB'!E43</f>
        <v>HẠNG MỤC: MẪU NO-01-110-2-TCL</v>
      </c>
      <c r="B3" s="6"/>
      <c r="C3" s="6"/>
      <c r="D3" s="6"/>
      <c r="E3" s="6"/>
      <c r="F3" s="48"/>
      <c r="G3" s="48"/>
      <c r="H3" s="48"/>
      <c r="I3" s="48"/>
      <c r="J3" s="48"/>
      <c r="K3" s="48"/>
      <c r="L3" s="334" t="s">
        <v>1354</v>
      </c>
      <c r="M3" s="48">
        <v>25447</v>
      </c>
      <c r="N3" s="792"/>
      <c r="O3" s="48"/>
      <c r="Q3" s="48"/>
    </row>
    <row r="4" spans="1:32">
      <c r="A4" s="30"/>
      <c r="C4" s="30"/>
      <c r="D4" s="30"/>
      <c r="E4" s="30"/>
      <c r="F4" s="31"/>
      <c r="G4" s="31"/>
      <c r="H4" s="31"/>
      <c r="I4" s="31"/>
      <c r="J4" s="782"/>
      <c r="K4" s="31"/>
      <c r="L4" s="782"/>
      <c r="M4" s="31"/>
      <c r="N4" s="162" t="s">
        <v>310</v>
      </c>
      <c r="O4" s="731"/>
    </row>
    <row r="5" spans="1:32" ht="23.25" customHeight="1">
      <c r="A5" s="2619" t="s">
        <v>196</v>
      </c>
      <c r="B5" s="2621" t="s">
        <v>683</v>
      </c>
      <c r="C5" s="2617" t="s">
        <v>1181</v>
      </c>
      <c r="D5" s="2617" t="s">
        <v>146</v>
      </c>
      <c r="E5" s="2617" t="s">
        <v>136</v>
      </c>
      <c r="F5" s="1537" t="s">
        <v>1351</v>
      </c>
      <c r="G5" s="1537"/>
      <c r="H5" s="1537"/>
      <c r="I5" s="2615" t="s">
        <v>1346</v>
      </c>
      <c r="J5" s="1537" t="s">
        <v>1194</v>
      </c>
      <c r="K5" s="1537"/>
      <c r="L5" s="1537" t="s">
        <v>46</v>
      </c>
      <c r="M5" s="1537"/>
      <c r="N5" s="2615" t="s">
        <v>1350</v>
      </c>
      <c r="O5" s="2617" t="s">
        <v>130</v>
      </c>
      <c r="Q5" s="732"/>
      <c r="R5" s="732"/>
      <c r="S5" s="732"/>
      <c r="T5" s="118"/>
      <c r="U5" s="732"/>
    </row>
    <row r="6" spans="1:32" ht="31.5">
      <c r="A6" s="2620"/>
      <c r="B6" s="2622"/>
      <c r="C6" s="2618"/>
      <c r="D6" s="2618"/>
      <c r="E6" s="2618"/>
      <c r="F6" s="1536" t="s">
        <v>1343</v>
      </c>
      <c r="G6" s="1536" t="s">
        <v>1344</v>
      </c>
      <c r="H6" s="1536" t="s">
        <v>1345</v>
      </c>
      <c r="I6" s="2616"/>
      <c r="J6" s="1535" t="s">
        <v>1348</v>
      </c>
      <c r="K6" s="1536" t="s">
        <v>1347</v>
      </c>
      <c r="L6" s="1536" t="s">
        <v>1349</v>
      </c>
      <c r="M6" s="1536" t="s">
        <v>1347</v>
      </c>
      <c r="N6" s="2616"/>
      <c r="O6" s="2618"/>
      <c r="Q6" s="732"/>
      <c r="R6" s="732"/>
      <c r="S6" s="732"/>
      <c r="T6" s="118"/>
      <c r="U6" s="732"/>
    </row>
    <row r="7" spans="1:32" s="284" customFormat="1" ht="31.5">
      <c r="A7" s="655" t="s">
        <v>73</v>
      </c>
      <c r="B7" s="1525"/>
      <c r="C7" s="1544" t="s">
        <v>1375</v>
      </c>
      <c r="D7" s="888"/>
      <c r="E7" s="316"/>
      <c r="F7" s="1526"/>
      <c r="G7" s="1526"/>
      <c r="H7" s="1526"/>
      <c r="I7" s="1526">
        <f>I8+I14+I20</f>
        <v>0</v>
      </c>
      <c r="J7" s="377"/>
      <c r="K7" s="1526">
        <f>K8+K14+K20</f>
        <v>0</v>
      </c>
      <c r="L7" s="377"/>
      <c r="M7" s="1526">
        <f>M8+M14+M20</f>
        <v>0</v>
      </c>
      <c r="N7" s="1526">
        <f>N8+N14+N20</f>
        <v>0</v>
      </c>
      <c r="O7" s="375"/>
      <c r="Q7"/>
      <c r="R7"/>
      <c r="S7"/>
      <c r="T7" s="470"/>
      <c r="U7"/>
      <c r="V7"/>
      <c r="W7"/>
      <c r="X7"/>
      <c r="Y7"/>
      <c r="Z7"/>
      <c r="AA7"/>
      <c r="AB7"/>
      <c r="AC7"/>
      <c r="AD7"/>
      <c r="AE7"/>
      <c r="AF7"/>
    </row>
    <row r="8" spans="1:32" s="349" customFormat="1" ht="15.75">
      <c r="A8" s="33">
        <v>1</v>
      </c>
      <c r="B8" s="259"/>
      <c r="C8" s="34" t="s">
        <v>1360</v>
      </c>
      <c r="D8" s="39"/>
      <c r="E8" s="259"/>
      <c r="F8" s="36"/>
      <c r="G8" s="36"/>
      <c r="H8" s="36"/>
      <c r="I8" s="1538">
        <f>SUM(I9:I13)</f>
        <v>0</v>
      </c>
      <c r="J8" s="1539"/>
      <c r="K8" s="1538">
        <f>SUM(K9:K13)</f>
        <v>0</v>
      </c>
      <c r="L8" s="1539"/>
      <c r="M8" s="1538">
        <f>SUM(M9:M13)</f>
        <v>0</v>
      </c>
      <c r="N8" s="1538">
        <f>I8+K8+M8</f>
        <v>0</v>
      </c>
      <c r="O8" s="259"/>
      <c r="Q8"/>
      <c r="R8"/>
      <c r="S8"/>
      <c r="T8" s="470"/>
      <c r="U8"/>
      <c r="V8"/>
      <c r="W8"/>
      <c r="X8"/>
      <c r="Y8"/>
      <c r="Z8"/>
      <c r="AA8"/>
      <c r="AB8"/>
      <c r="AC8"/>
      <c r="AD8"/>
      <c r="AE8"/>
      <c r="AF8"/>
    </row>
    <row r="9" spans="1:32" s="349" customFormat="1" ht="15.75">
      <c r="A9" s="35"/>
      <c r="B9" s="351"/>
      <c r="C9" s="37"/>
      <c r="D9" s="50"/>
      <c r="E9" s="351"/>
      <c r="F9" s="38"/>
      <c r="G9" s="38"/>
      <c r="H9" s="38"/>
      <c r="I9" s="38"/>
      <c r="J9" s="302">
        <v>0.05</v>
      </c>
      <c r="K9" s="38"/>
      <c r="L9" s="302">
        <v>0.1</v>
      </c>
      <c r="M9" s="38"/>
      <c r="N9" s="38">
        <f t="shared" ref="N9:N13" si="0">I9+K9+M9</f>
        <v>0</v>
      </c>
      <c r="O9" s="351"/>
      <c r="Q9"/>
      <c r="R9"/>
      <c r="S9"/>
      <c r="T9" s="470"/>
      <c r="U9"/>
      <c r="V9"/>
      <c r="W9"/>
      <c r="X9"/>
      <c r="Y9"/>
      <c r="Z9"/>
      <c r="AA9"/>
      <c r="AB9"/>
      <c r="AC9"/>
      <c r="AD9"/>
      <c r="AE9"/>
      <c r="AF9"/>
    </row>
    <row r="10" spans="1:32" s="349" customFormat="1" ht="15.75">
      <c r="A10" s="35"/>
      <c r="B10" s="351"/>
      <c r="C10" s="37"/>
      <c r="D10" s="50"/>
      <c r="E10" s="351"/>
      <c r="F10" s="38"/>
      <c r="G10" s="38"/>
      <c r="H10" s="38"/>
      <c r="I10" s="38"/>
      <c r="J10" s="302">
        <v>0.05</v>
      </c>
      <c r="K10" s="38"/>
      <c r="L10" s="302">
        <v>0.1</v>
      </c>
      <c r="M10" s="38"/>
      <c r="N10" s="38">
        <f t="shared" si="0"/>
        <v>0</v>
      </c>
      <c r="O10" s="351"/>
      <c r="Q10"/>
      <c r="R10"/>
      <c r="S10"/>
      <c r="T10" s="470"/>
      <c r="U10"/>
      <c r="V10"/>
      <c r="W10"/>
      <c r="X10"/>
      <c r="Y10"/>
      <c r="Z10"/>
      <c r="AA10"/>
      <c r="AB10"/>
      <c r="AC10"/>
      <c r="AD10"/>
      <c r="AE10"/>
      <c r="AF10"/>
    </row>
    <row r="11" spans="1:32" s="349" customFormat="1" ht="15.75">
      <c r="A11" s="35"/>
      <c r="B11" s="351"/>
      <c r="C11" s="37"/>
      <c r="D11" s="50"/>
      <c r="E11" s="351"/>
      <c r="F11" s="38"/>
      <c r="G11" s="38"/>
      <c r="H11" s="38"/>
      <c r="I11" s="38"/>
      <c r="J11" s="302">
        <v>0.05</v>
      </c>
      <c r="K11" s="38"/>
      <c r="L11" s="302">
        <v>0.1</v>
      </c>
      <c r="M11" s="38"/>
      <c r="N11" s="38">
        <f t="shared" si="0"/>
        <v>0</v>
      </c>
      <c r="O11" s="351"/>
      <c r="Q11"/>
      <c r="R11"/>
      <c r="S11"/>
      <c r="T11" s="470"/>
      <c r="U11"/>
      <c r="V11"/>
      <c r="W11"/>
      <c r="X11"/>
      <c r="Y11"/>
      <c r="Z11"/>
      <c r="AA11"/>
      <c r="AB11"/>
      <c r="AC11"/>
      <c r="AD11"/>
      <c r="AE11"/>
      <c r="AF11"/>
    </row>
    <row r="12" spans="1:32" s="349" customFormat="1" ht="15.75">
      <c r="A12" s="35"/>
      <c r="B12" s="351"/>
      <c r="C12" s="37"/>
      <c r="D12" s="50"/>
      <c r="E12" s="351"/>
      <c r="F12" s="38"/>
      <c r="G12" s="38"/>
      <c r="H12" s="38"/>
      <c r="I12" s="38"/>
      <c r="J12" s="302">
        <v>0.05</v>
      </c>
      <c r="K12" s="38"/>
      <c r="L12" s="302">
        <v>0.1</v>
      </c>
      <c r="M12" s="38"/>
      <c r="N12" s="38">
        <f t="shared" si="0"/>
        <v>0</v>
      </c>
      <c r="O12" s="351"/>
      <c r="Q12"/>
      <c r="R12"/>
      <c r="S12"/>
      <c r="T12" s="470"/>
      <c r="U12"/>
      <c r="V12"/>
      <c r="W12"/>
      <c r="X12"/>
      <c r="Y12"/>
      <c r="Z12"/>
      <c r="AA12"/>
      <c r="AB12"/>
      <c r="AC12"/>
      <c r="AD12"/>
      <c r="AE12"/>
      <c r="AF12"/>
    </row>
    <row r="13" spans="1:32" s="349" customFormat="1" ht="15.75">
      <c r="A13" s="35"/>
      <c r="B13" s="351"/>
      <c r="C13" s="37"/>
      <c r="D13" s="50"/>
      <c r="E13" s="351"/>
      <c r="F13" s="38"/>
      <c r="G13" s="38"/>
      <c r="H13" s="38"/>
      <c r="I13" s="38"/>
      <c r="J13" s="302">
        <v>0.05</v>
      </c>
      <c r="K13" s="38"/>
      <c r="L13" s="302">
        <v>0.1</v>
      </c>
      <c r="M13" s="38"/>
      <c r="N13" s="38">
        <f t="shared" si="0"/>
        <v>0</v>
      </c>
      <c r="O13" s="351"/>
      <c r="Q13"/>
      <c r="R13"/>
      <c r="S13"/>
      <c r="T13" s="470"/>
      <c r="U13"/>
      <c r="V13"/>
      <c r="W13"/>
      <c r="X13"/>
      <c r="Y13"/>
      <c r="Z13"/>
      <c r="AA13"/>
      <c r="AB13"/>
      <c r="AC13"/>
      <c r="AD13"/>
      <c r="AE13"/>
      <c r="AF13"/>
    </row>
    <row r="14" spans="1:32" s="349" customFormat="1" ht="15.75">
      <c r="A14" s="33">
        <v>2</v>
      </c>
      <c r="B14" s="259"/>
      <c r="C14" s="34" t="s">
        <v>1361</v>
      </c>
      <c r="D14" s="39"/>
      <c r="E14" s="259"/>
      <c r="F14" s="36"/>
      <c r="G14" s="36"/>
      <c r="H14" s="36"/>
      <c r="I14" s="36">
        <f>SUM(I15:I19)</f>
        <v>0</v>
      </c>
      <c r="J14" s="302"/>
      <c r="K14" s="36">
        <f t="shared" ref="K14:N14" si="1">SUM(K15:K19)</f>
        <v>0</v>
      </c>
      <c r="L14" s="36"/>
      <c r="M14" s="36">
        <f t="shared" si="1"/>
        <v>0</v>
      </c>
      <c r="N14" s="36">
        <f t="shared" si="1"/>
        <v>0</v>
      </c>
      <c r="O14" s="351"/>
      <c r="Q14"/>
      <c r="R14"/>
      <c r="S14"/>
      <c r="T14" s="470"/>
      <c r="U14"/>
      <c r="V14"/>
      <c r="W14"/>
      <c r="X14"/>
      <c r="Y14"/>
      <c r="Z14"/>
      <c r="AA14"/>
      <c r="AB14"/>
      <c r="AC14"/>
      <c r="AD14"/>
      <c r="AE14"/>
      <c r="AF14"/>
    </row>
    <row r="15" spans="1:32" s="349" customFormat="1" ht="15.75">
      <c r="A15" s="35"/>
      <c r="B15" s="351"/>
      <c r="C15" s="37"/>
      <c r="D15" s="50"/>
      <c r="E15" s="351"/>
      <c r="F15" s="38"/>
      <c r="G15" s="38"/>
      <c r="H15" s="38"/>
      <c r="I15" s="38"/>
      <c r="J15" s="302">
        <v>0.05</v>
      </c>
      <c r="K15" s="38"/>
      <c r="L15" s="302">
        <v>0.1</v>
      </c>
      <c r="M15" s="38"/>
      <c r="N15" s="38">
        <f>I15+K15+M15</f>
        <v>0</v>
      </c>
      <c r="O15" s="351"/>
      <c r="Q15"/>
      <c r="R15"/>
      <c r="S15"/>
      <c r="T15" s="470"/>
      <c r="U15"/>
      <c r="V15"/>
      <c r="W15"/>
      <c r="X15"/>
      <c r="Y15"/>
      <c r="Z15"/>
      <c r="AA15"/>
      <c r="AB15"/>
      <c r="AC15"/>
      <c r="AD15"/>
      <c r="AE15"/>
      <c r="AF15"/>
    </row>
    <row r="16" spans="1:32" s="349" customFormat="1" ht="15.75">
      <c r="A16" s="35"/>
      <c r="B16" s="351"/>
      <c r="C16" s="37"/>
      <c r="D16" s="50"/>
      <c r="E16" s="351"/>
      <c r="F16" s="38"/>
      <c r="G16" s="38"/>
      <c r="H16" s="38"/>
      <c r="I16" s="38"/>
      <c r="J16" s="302">
        <v>0.05</v>
      </c>
      <c r="K16" s="38"/>
      <c r="L16" s="302">
        <v>0.1</v>
      </c>
      <c r="M16" s="38"/>
      <c r="N16" s="38">
        <f t="shared" ref="N16:N19" si="2">I16+K16+M16</f>
        <v>0</v>
      </c>
      <c r="O16" s="351"/>
      <c r="Q16"/>
      <c r="R16"/>
      <c r="S16"/>
      <c r="T16" s="470"/>
      <c r="U16"/>
      <c r="V16"/>
      <c r="W16"/>
      <c r="X16"/>
      <c r="Y16"/>
      <c r="Z16"/>
      <c r="AA16"/>
      <c r="AB16"/>
      <c r="AC16"/>
      <c r="AD16"/>
      <c r="AE16"/>
      <c r="AF16"/>
    </row>
    <row r="17" spans="1:32" s="349" customFormat="1" ht="15.75">
      <c r="A17" s="35"/>
      <c r="B17" s="351"/>
      <c r="C17" s="37"/>
      <c r="D17" s="50"/>
      <c r="E17" s="351"/>
      <c r="F17" s="38"/>
      <c r="G17" s="38"/>
      <c r="H17" s="38"/>
      <c r="I17" s="38"/>
      <c r="J17" s="302">
        <v>0.05</v>
      </c>
      <c r="K17" s="38"/>
      <c r="L17" s="302">
        <v>0.1</v>
      </c>
      <c r="M17" s="38"/>
      <c r="N17" s="38">
        <f t="shared" si="2"/>
        <v>0</v>
      </c>
      <c r="O17" s="351"/>
      <c r="Q17"/>
      <c r="R17"/>
      <c r="S17"/>
      <c r="T17" s="470"/>
      <c r="U17"/>
      <c r="V17"/>
      <c r="W17"/>
      <c r="X17"/>
      <c r="Y17"/>
      <c r="Z17"/>
      <c r="AA17"/>
      <c r="AB17"/>
      <c r="AC17"/>
      <c r="AD17"/>
      <c r="AE17"/>
      <c r="AF17"/>
    </row>
    <row r="18" spans="1:32" s="349" customFormat="1" ht="15.75">
      <c r="A18" s="35"/>
      <c r="B18" s="351"/>
      <c r="C18" s="37"/>
      <c r="D18" s="50"/>
      <c r="E18" s="351"/>
      <c r="F18" s="38"/>
      <c r="G18" s="38"/>
      <c r="H18" s="38"/>
      <c r="I18" s="38"/>
      <c r="J18" s="302">
        <v>0.05</v>
      </c>
      <c r="K18" s="38"/>
      <c r="L18" s="302">
        <v>0.1</v>
      </c>
      <c r="M18" s="38"/>
      <c r="N18" s="38">
        <f t="shared" si="2"/>
        <v>0</v>
      </c>
      <c r="O18" s="351"/>
      <c r="Q18"/>
      <c r="R18"/>
      <c r="S18"/>
      <c r="T18" s="470"/>
      <c r="U18"/>
      <c r="V18"/>
      <c r="W18"/>
      <c r="X18"/>
      <c r="Y18"/>
      <c r="Z18"/>
      <c r="AA18"/>
      <c r="AB18"/>
      <c r="AC18"/>
      <c r="AD18"/>
      <c r="AE18"/>
      <c r="AF18"/>
    </row>
    <row r="19" spans="1:32" s="349" customFormat="1" ht="15.75">
      <c r="A19" s="35"/>
      <c r="B19" s="351"/>
      <c r="C19" s="37"/>
      <c r="D19" s="50"/>
      <c r="E19" s="351"/>
      <c r="F19" s="38"/>
      <c r="G19" s="38"/>
      <c r="H19" s="38"/>
      <c r="I19" s="38"/>
      <c r="J19" s="302">
        <v>0.05</v>
      </c>
      <c r="K19" s="38"/>
      <c r="L19" s="302">
        <v>0.1</v>
      </c>
      <c r="M19" s="38"/>
      <c r="N19" s="38">
        <f t="shared" si="2"/>
        <v>0</v>
      </c>
      <c r="O19" s="351"/>
      <c r="Q19"/>
      <c r="R19"/>
      <c r="S19"/>
      <c r="T19" s="470"/>
      <c r="U19"/>
      <c r="V19"/>
      <c r="W19"/>
      <c r="X19"/>
      <c r="Y19"/>
      <c r="Z19"/>
      <c r="AA19"/>
      <c r="AB19"/>
      <c r="AC19"/>
      <c r="AD19"/>
      <c r="AE19"/>
      <c r="AF19"/>
    </row>
    <row r="20" spans="1:32" s="349" customFormat="1" ht="31.5">
      <c r="A20" s="33">
        <v>3</v>
      </c>
      <c r="B20" s="351"/>
      <c r="C20" s="34" t="s">
        <v>1364</v>
      </c>
      <c r="D20" s="50"/>
      <c r="E20" s="351"/>
      <c r="F20" s="38"/>
      <c r="G20" s="38"/>
      <c r="H20" s="38"/>
      <c r="I20" s="36">
        <f>SUM(I21:I24)</f>
        <v>0</v>
      </c>
      <c r="J20" s="1540"/>
      <c r="K20" s="36">
        <f>SUM(K21:K24)</f>
        <v>0</v>
      </c>
      <c r="L20" s="1540"/>
      <c r="M20" s="36">
        <f>SUM(M21:M24)</f>
        <v>0</v>
      </c>
      <c r="N20" s="36">
        <f>SUM(N21:N24)</f>
        <v>0</v>
      </c>
      <c r="O20" s="351"/>
      <c r="Q20"/>
      <c r="R20"/>
      <c r="S20"/>
      <c r="T20" s="470"/>
      <c r="U20"/>
      <c r="V20"/>
      <c r="W20"/>
      <c r="X20"/>
      <c r="Y20"/>
      <c r="Z20"/>
      <c r="AA20"/>
      <c r="AB20"/>
      <c r="AC20"/>
      <c r="AD20"/>
      <c r="AE20"/>
      <c r="AF20"/>
    </row>
    <row r="21" spans="1:32" s="349" customFormat="1" ht="31.5">
      <c r="A21" s="33"/>
      <c r="B21" s="351"/>
      <c r="C21" s="37" t="s">
        <v>1365</v>
      </c>
      <c r="D21" s="50"/>
      <c r="E21" s="351"/>
      <c r="F21" s="38"/>
      <c r="G21" s="38"/>
      <c r="H21" s="38"/>
      <c r="I21" s="38"/>
      <c r="J21" s="302"/>
      <c r="K21" s="38"/>
      <c r="L21" s="302"/>
      <c r="M21" s="38"/>
      <c r="N21" s="38"/>
      <c r="O21" s="351"/>
      <c r="Q21"/>
      <c r="R21"/>
      <c r="S21"/>
      <c r="T21" s="470"/>
      <c r="U21"/>
      <c r="V21"/>
      <c r="W21"/>
      <c r="X21"/>
      <c r="Y21"/>
      <c r="Z21"/>
      <c r="AA21"/>
      <c r="AB21"/>
      <c r="AC21"/>
      <c r="AD21"/>
      <c r="AE21"/>
      <c r="AF21"/>
    </row>
    <row r="22" spans="1:32" s="349" customFormat="1" ht="31.5">
      <c r="A22" s="33"/>
      <c r="B22" s="351"/>
      <c r="C22" s="37" t="s">
        <v>1366</v>
      </c>
      <c r="D22" s="50"/>
      <c r="E22" s="351"/>
      <c r="F22" s="38"/>
      <c r="G22" s="38"/>
      <c r="H22" s="38"/>
      <c r="I22" s="38"/>
      <c r="J22" s="302"/>
      <c r="K22" s="38"/>
      <c r="L22" s="302"/>
      <c r="M22" s="38"/>
      <c r="N22" s="38"/>
      <c r="O22" s="351"/>
      <c r="Q22"/>
      <c r="R22"/>
      <c r="S22"/>
      <c r="T22" s="470"/>
      <c r="U22"/>
      <c r="V22"/>
      <c r="W22"/>
      <c r="X22"/>
      <c r="Y22"/>
      <c r="Z22"/>
      <c r="AA22"/>
      <c r="AB22"/>
      <c r="AC22"/>
      <c r="AD22"/>
      <c r="AE22"/>
      <c r="AF22"/>
    </row>
    <row r="23" spans="1:32" s="349" customFormat="1" ht="31.5">
      <c r="A23" s="33"/>
      <c r="B23" s="351"/>
      <c r="C23" s="37" t="s">
        <v>1367</v>
      </c>
      <c r="D23" s="50"/>
      <c r="E23" s="351"/>
      <c r="F23" s="38"/>
      <c r="G23" s="38"/>
      <c r="H23" s="38"/>
      <c r="I23" s="38"/>
      <c r="J23" s="302"/>
      <c r="K23" s="38"/>
      <c r="L23" s="302"/>
      <c r="M23" s="38"/>
      <c r="N23" s="38"/>
      <c r="O23" s="351"/>
      <c r="Q23"/>
      <c r="R23"/>
      <c r="S23"/>
      <c r="T23" s="470"/>
      <c r="U23"/>
      <c r="V23"/>
      <c r="W23"/>
      <c r="X23"/>
      <c r="Y23"/>
      <c r="Z23"/>
      <c r="AA23"/>
      <c r="AB23"/>
      <c r="AC23"/>
      <c r="AD23"/>
      <c r="AE23"/>
      <c r="AF23"/>
    </row>
    <row r="24" spans="1:32" s="349" customFormat="1" ht="31.5">
      <c r="A24" s="134"/>
      <c r="B24" s="660"/>
      <c r="C24" s="1541" t="s">
        <v>1368</v>
      </c>
      <c r="D24" s="1067"/>
      <c r="E24" s="660"/>
      <c r="F24" s="1542"/>
      <c r="G24" s="1542"/>
      <c r="H24" s="1542"/>
      <c r="I24" s="1542"/>
      <c r="J24" s="1543"/>
      <c r="K24" s="1542"/>
      <c r="L24" s="1543"/>
      <c r="M24" s="1542"/>
      <c r="N24" s="1542"/>
      <c r="O24" s="660"/>
      <c r="Q24"/>
      <c r="R24"/>
      <c r="S24"/>
      <c r="T24" s="470"/>
      <c r="U24"/>
      <c r="V24"/>
      <c r="W24"/>
      <c r="X24"/>
      <c r="Y24"/>
      <c r="Z24"/>
      <c r="AA24"/>
      <c r="AB24"/>
      <c r="AC24"/>
      <c r="AD24"/>
      <c r="AE24"/>
      <c r="AF24"/>
    </row>
    <row r="25" spans="1:32" s="349" customFormat="1" ht="31.5">
      <c r="A25" s="655" t="s">
        <v>75</v>
      </c>
      <c r="B25" s="316"/>
      <c r="C25" s="663" t="s">
        <v>1369</v>
      </c>
      <c r="D25" s="888"/>
      <c r="E25" s="316"/>
      <c r="F25" s="1526"/>
      <c r="G25" s="1526"/>
      <c r="H25" s="1526"/>
      <c r="I25" s="1526">
        <f>I26+I33+I40</f>
        <v>0</v>
      </c>
      <c r="J25" s="377"/>
      <c r="K25" s="1526">
        <f>K26+K33+K40</f>
        <v>0</v>
      </c>
      <c r="L25" s="377"/>
      <c r="M25" s="1526">
        <f>M26+M33+M40</f>
        <v>0</v>
      </c>
      <c r="N25" s="1526">
        <f>N26+N33+N40</f>
        <v>0</v>
      </c>
      <c r="O25" s="375"/>
      <c r="Q25"/>
      <c r="R25"/>
      <c r="S25"/>
      <c r="T25" s="470"/>
      <c r="U25"/>
      <c r="V25"/>
      <c r="W25"/>
      <c r="X25"/>
      <c r="Y25"/>
      <c r="Z25"/>
      <c r="AA25"/>
      <c r="AB25"/>
      <c r="AC25"/>
      <c r="AD25"/>
      <c r="AE25"/>
      <c r="AF25"/>
    </row>
    <row r="26" spans="1:32" s="349" customFormat="1" ht="15.75">
      <c r="A26" s="33">
        <v>1</v>
      </c>
      <c r="B26" s="259"/>
      <c r="C26" s="34" t="s">
        <v>1356</v>
      </c>
      <c r="D26" s="39"/>
      <c r="E26" s="259"/>
      <c r="F26" s="36"/>
      <c r="G26" s="36"/>
      <c r="H26" s="36"/>
      <c r="I26" s="36">
        <f>SUM(I27:I32)</f>
        <v>0</v>
      </c>
      <c r="J26" s="302"/>
      <c r="K26" s="36">
        <f>SUM(K27:K32)</f>
        <v>0</v>
      </c>
      <c r="L26" s="302"/>
      <c r="M26" s="36">
        <f t="shared" ref="M26" si="3">SUM(M27:M32)</f>
        <v>0</v>
      </c>
      <c r="N26" s="36">
        <f>I26+K26+M26</f>
        <v>0</v>
      </c>
      <c r="O26" s="351"/>
      <c r="Q26"/>
      <c r="R26"/>
      <c r="S26"/>
      <c r="T26" s="470"/>
      <c r="U26"/>
      <c r="V26"/>
      <c r="W26"/>
      <c r="X26"/>
      <c r="Y26"/>
      <c r="Z26"/>
      <c r="AA26"/>
      <c r="AB26"/>
      <c r="AC26"/>
      <c r="AD26"/>
      <c r="AE26"/>
      <c r="AF26"/>
    </row>
    <row r="27" spans="1:32" s="349" customFormat="1" ht="15.75">
      <c r="A27" s="35"/>
      <c r="B27" s="351"/>
      <c r="C27" s="37"/>
      <c r="D27" s="50"/>
      <c r="E27" s="351"/>
      <c r="F27" s="38"/>
      <c r="G27" s="38"/>
      <c r="H27" s="38"/>
      <c r="I27" s="38"/>
      <c r="J27" s="302">
        <v>0.05</v>
      </c>
      <c r="K27" s="38"/>
      <c r="L27" s="302">
        <v>0.1</v>
      </c>
      <c r="M27" s="38"/>
      <c r="N27" s="38">
        <f>I27+K27+M27</f>
        <v>0</v>
      </c>
      <c r="O27" s="351"/>
      <c r="Q27"/>
      <c r="R27"/>
      <c r="S27"/>
      <c r="T27" s="470"/>
      <c r="U27"/>
      <c r="V27"/>
      <c r="W27"/>
      <c r="X27"/>
      <c r="Y27"/>
      <c r="Z27"/>
      <c r="AA27"/>
      <c r="AB27"/>
      <c r="AC27"/>
      <c r="AD27"/>
      <c r="AE27"/>
      <c r="AF27"/>
    </row>
    <row r="28" spans="1:32" s="672" customFormat="1" ht="15.75">
      <c r="A28" s="35"/>
      <c r="B28" s="351"/>
      <c r="C28" s="37"/>
      <c r="D28" s="50"/>
      <c r="E28" s="351"/>
      <c r="F28" s="38"/>
      <c r="G28" s="38"/>
      <c r="H28" s="38"/>
      <c r="I28" s="38"/>
      <c r="J28" s="302">
        <v>0.05</v>
      </c>
      <c r="K28" s="38"/>
      <c r="L28" s="302">
        <v>0.1</v>
      </c>
      <c r="M28" s="38"/>
      <c r="N28" s="38">
        <f t="shared" ref="N28:N32" si="4">I28+K28+M28</f>
        <v>0</v>
      </c>
      <c r="O28" s="351"/>
      <c r="Q28"/>
      <c r="R28"/>
      <c r="S28"/>
      <c r="T28" s="470"/>
      <c r="U28"/>
      <c r="V28"/>
      <c r="W28"/>
      <c r="X28"/>
      <c r="Y28"/>
      <c r="Z28"/>
      <c r="AA28"/>
      <c r="AB28"/>
      <c r="AC28"/>
      <c r="AD28"/>
      <c r="AE28"/>
      <c r="AF28"/>
    </row>
    <row r="29" spans="1:32" s="672" customFormat="1" ht="15.75">
      <c r="A29" s="35"/>
      <c r="B29" s="351"/>
      <c r="C29" s="37"/>
      <c r="D29" s="50"/>
      <c r="E29" s="351"/>
      <c r="F29" s="38"/>
      <c r="G29" s="38"/>
      <c r="H29" s="38"/>
      <c r="I29" s="38"/>
      <c r="J29" s="302">
        <v>0.05</v>
      </c>
      <c r="K29" s="38"/>
      <c r="L29" s="302">
        <v>0.1</v>
      </c>
      <c r="M29" s="38"/>
      <c r="N29" s="38">
        <f t="shared" si="4"/>
        <v>0</v>
      </c>
      <c r="O29" s="351"/>
      <c r="Q29"/>
      <c r="R29"/>
      <c r="S29"/>
      <c r="T29" s="470"/>
      <c r="U29"/>
      <c r="V29"/>
      <c r="W29"/>
      <c r="X29"/>
      <c r="Y29"/>
      <c r="Z29"/>
      <c r="AA29"/>
      <c r="AB29"/>
      <c r="AC29"/>
      <c r="AD29"/>
      <c r="AE29"/>
      <c r="AF29"/>
    </row>
    <row r="30" spans="1:32" s="672" customFormat="1" ht="15.75">
      <c r="A30" s="35"/>
      <c r="B30" s="351"/>
      <c r="C30" s="37"/>
      <c r="D30" s="50"/>
      <c r="E30" s="351"/>
      <c r="F30" s="38"/>
      <c r="G30" s="38"/>
      <c r="H30" s="38"/>
      <c r="I30" s="38"/>
      <c r="J30" s="302">
        <v>0.05</v>
      </c>
      <c r="K30" s="38"/>
      <c r="L30" s="302">
        <v>0.1</v>
      </c>
      <c r="M30" s="38"/>
      <c r="N30" s="38">
        <f t="shared" si="4"/>
        <v>0</v>
      </c>
      <c r="O30" s="351"/>
      <c r="Q30"/>
      <c r="R30"/>
      <c r="S30"/>
      <c r="T30" s="470"/>
      <c r="U30"/>
      <c r="V30"/>
      <c r="W30"/>
      <c r="X30"/>
      <c r="Y30"/>
      <c r="Z30"/>
      <c r="AA30"/>
      <c r="AB30"/>
      <c r="AC30"/>
      <c r="AD30"/>
      <c r="AE30"/>
      <c r="AF30"/>
    </row>
    <row r="31" spans="1:32" s="672" customFormat="1" ht="15.75">
      <c r="A31" s="35"/>
      <c r="B31" s="351"/>
      <c r="C31" s="37"/>
      <c r="D31" s="50"/>
      <c r="E31" s="351"/>
      <c r="F31" s="38"/>
      <c r="G31" s="38"/>
      <c r="H31" s="38"/>
      <c r="I31" s="38"/>
      <c r="J31" s="302">
        <v>0.05</v>
      </c>
      <c r="K31" s="38"/>
      <c r="L31" s="302">
        <v>0.1</v>
      </c>
      <c r="M31" s="38"/>
      <c r="N31" s="38">
        <f t="shared" si="4"/>
        <v>0</v>
      </c>
      <c r="O31" s="351"/>
      <c r="Q31"/>
      <c r="R31"/>
      <c r="S31"/>
      <c r="T31" s="470"/>
      <c r="U31"/>
      <c r="V31"/>
      <c r="W31"/>
      <c r="X31"/>
      <c r="Y31"/>
      <c r="Z31"/>
      <c r="AA31"/>
      <c r="AB31"/>
      <c r="AC31"/>
      <c r="AD31"/>
      <c r="AE31"/>
      <c r="AF31"/>
    </row>
    <row r="32" spans="1:32" s="672" customFormat="1" ht="15.75">
      <c r="A32" s="35"/>
      <c r="B32" s="351"/>
      <c r="C32" s="37"/>
      <c r="D32" s="50"/>
      <c r="E32" s="351"/>
      <c r="F32" s="38"/>
      <c r="G32" s="38"/>
      <c r="H32" s="38"/>
      <c r="I32" s="38"/>
      <c r="J32" s="302">
        <v>0.05</v>
      </c>
      <c r="K32" s="38"/>
      <c r="L32" s="302">
        <v>0.1</v>
      </c>
      <c r="M32" s="38"/>
      <c r="N32" s="38">
        <f t="shared" si="4"/>
        <v>0</v>
      </c>
      <c r="O32" s="351"/>
      <c r="Q32"/>
      <c r="R32"/>
      <c r="S32"/>
      <c r="T32" s="470"/>
      <c r="U32"/>
      <c r="V32"/>
      <c r="W32"/>
      <c r="X32"/>
      <c r="Y32"/>
      <c r="Z32"/>
      <c r="AA32"/>
      <c r="AB32"/>
      <c r="AC32"/>
      <c r="AD32"/>
      <c r="AE32"/>
      <c r="AF32"/>
    </row>
    <row r="33" spans="1:32" s="672" customFormat="1" ht="15.75">
      <c r="A33" s="33">
        <v>2</v>
      </c>
      <c r="B33" s="259"/>
      <c r="C33" s="34" t="s">
        <v>1357</v>
      </c>
      <c r="D33" s="39"/>
      <c r="E33" s="259"/>
      <c r="F33" s="36"/>
      <c r="G33" s="36"/>
      <c r="H33" s="36"/>
      <c r="I33" s="36">
        <f>SUM(I34:I39)</f>
        <v>0</v>
      </c>
      <c r="J33" s="302"/>
      <c r="K33" s="36">
        <f>SUM(K34:K39)</f>
        <v>0</v>
      </c>
      <c r="L33" s="302"/>
      <c r="M33" s="36">
        <f t="shared" ref="M33" si="5">SUM(M34:M39)</f>
        <v>0</v>
      </c>
      <c r="N33" s="36">
        <f>I33+K33+M33</f>
        <v>0</v>
      </c>
      <c r="O33" s="351"/>
      <c r="Q33"/>
      <c r="R33"/>
      <c r="S33"/>
      <c r="T33" s="470"/>
      <c r="U33"/>
      <c r="V33"/>
      <c r="W33"/>
      <c r="X33"/>
      <c r="Y33"/>
      <c r="Z33"/>
      <c r="AA33"/>
      <c r="AB33"/>
      <c r="AC33"/>
      <c r="AD33"/>
      <c r="AE33"/>
      <c r="AF33"/>
    </row>
    <row r="34" spans="1:32" s="672" customFormat="1" ht="15.75">
      <c r="A34" s="35"/>
      <c r="B34" s="351"/>
      <c r="C34" s="37"/>
      <c r="D34" s="50"/>
      <c r="E34" s="351"/>
      <c r="F34" s="38"/>
      <c r="G34" s="38"/>
      <c r="H34" s="38"/>
      <c r="I34" s="38"/>
      <c r="J34" s="302">
        <v>0.05</v>
      </c>
      <c r="K34" s="38"/>
      <c r="L34" s="302">
        <v>0.1</v>
      </c>
      <c r="M34" s="38"/>
      <c r="N34" s="38">
        <f>I34+K34+M34</f>
        <v>0</v>
      </c>
      <c r="O34" s="351"/>
      <c r="Q34"/>
      <c r="R34"/>
      <c r="S34"/>
      <c r="T34" s="470"/>
      <c r="U34"/>
      <c r="V34"/>
      <c r="W34"/>
      <c r="X34"/>
      <c r="Y34"/>
      <c r="Z34"/>
      <c r="AA34"/>
      <c r="AB34"/>
      <c r="AC34"/>
      <c r="AD34"/>
      <c r="AE34"/>
      <c r="AF34"/>
    </row>
    <row r="35" spans="1:32" s="672" customFormat="1" ht="15.75">
      <c r="A35" s="35"/>
      <c r="B35" s="351"/>
      <c r="C35" s="37"/>
      <c r="D35" s="50"/>
      <c r="E35" s="351"/>
      <c r="F35" s="38"/>
      <c r="G35" s="38"/>
      <c r="H35" s="38"/>
      <c r="I35" s="38"/>
      <c r="J35" s="302">
        <v>0.05</v>
      </c>
      <c r="K35" s="38"/>
      <c r="L35" s="302">
        <v>0.1</v>
      </c>
      <c r="M35" s="38"/>
      <c r="N35" s="38">
        <f t="shared" ref="N35:N39" si="6">I35+K35+M35</f>
        <v>0</v>
      </c>
      <c r="O35" s="351"/>
      <c r="Q35"/>
      <c r="R35"/>
      <c r="S35"/>
      <c r="T35" s="470"/>
      <c r="U35"/>
      <c r="V35"/>
      <c r="W35"/>
      <c r="X35"/>
      <c r="Y35"/>
      <c r="Z35"/>
      <c r="AA35"/>
      <c r="AB35"/>
      <c r="AC35"/>
      <c r="AD35"/>
      <c r="AE35"/>
      <c r="AF35"/>
    </row>
    <row r="36" spans="1:32" s="672" customFormat="1" ht="15.75">
      <c r="A36" s="35"/>
      <c r="B36" s="351"/>
      <c r="C36" s="37"/>
      <c r="D36" s="50"/>
      <c r="E36" s="351"/>
      <c r="F36" s="38"/>
      <c r="G36" s="38"/>
      <c r="H36" s="38"/>
      <c r="I36" s="38"/>
      <c r="J36" s="302">
        <v>0.05</v>
      </c>
      <c r="K36" s="38"/>
      <c r="L36" s="302">
        <v>0.1</v>
      </c>
      <c r="M36" s="38"/>
      <c r="N36" s="38">
        <f t="shared" si="6"/>
        <v>0</v>
      </c>
      <c r="O36" s="351"/>
      <c r="Q36"/>
      <c r="R36"/>
      <c r="S36"/>
      <c r="T36" s="470"/>
      <c r="U36"/>
      <c r="V36"/>
      <c r="W36"/>
      <c r="X36"/>
      <c r="Y36"/>
      <c r="Z36"/>
      <c r="AA36"/>
      <c r="AB36"/>
      <c r="AC36"/>
      <c r="AD36"/>
      <c r="AE36"/>
      <c r="AF36"/>
    </row>
    <row r="37" spans="1:32" s="672" customFormat="1" ht="15.75">
      <c r="A37" s="35"/>
      <c r="B37" s="351"/>
      <c r="C37" s="37"/>
      <c r="D37" s="50"/>
      <c r="E37" s="351"/>
      <c r="F37" s="38"/>
      <c r="G37" s="38"/>
      <c r="H37" s="38"/>
      <c r="I37" s="38"/>
      <c r="J37" s="302">
        <v>0.05</v>
      </c>
      <c r="K37" s="38"/>
      <c r="L37" s="302">
        <v>0.1</v>
      </c>
      <c r="M37" s="38"/>
      <c r="N37" s="38">
        <f t="shared" si="6"/>
        <v>0</v>
      </c>
      <c r="O37" s="351"/>
      <c r="Q37"/>
      <c r="R37"/>
      <c r="S37"/>
      <c r="T37" s="470"/>
      <c r="U37"/>
      <c r="V37"/>
      <c r="W37"/>
      <c r="X37"/>
      <c r="Y37"/>
      <c r="Z37"/>
      <c r="AA37"/>
      <c r="AB37"/>
      <c r="AC37"/>
      <c r="AD37"/>
      <c r="AE37"/>
      <c r="AF37"/>
    </row>
    <row r="38" spans="1:32" s="672" customFormat="1" ht="15.75">
      <c r="A38" s="35"/>
      <c r="B38" s="351"/>
      <c r="C38" s="37"/>
      <c r="D38" s="50"/>
      <c r="E38" s="351"/>
      <c r="F38" s="38"/>
      <c r="G38" s="38"/>
      <c r="H38" s="38"/>
      <c r="I38" s="38"/>
      <c r="J38" s="302">
        <v>0.05</v>
      </c>
      <c r="K38" s="38"/>
      <c r="L38" s="302">
        <v>0.1</v>
      </c>
      <c r="M38" s="38"/>
      <c r="N38" s="38">
        <f t="shared" si="6"/>
        <v>0</v>
      </c>
      <c r="O38" s="351"/>
      <c r="Q38"/>
      <c r="R38"/>
      <c r="S38"/>
      <c r="T38" s="470"/>
      <c r="U38"/>
      <c r="V38"/>
      <c r="W38"/>
      <c r="X38"/>
      <c r="Y38"/>
      <c r="Z38"/>
      <c r="AA38"/>
      <c r="AB38"/>
      <c r="AC38"/>
      <c r="AD38"/>
      <c r="AE38"/>
      <c r="AF38"/>
    </row>
    <row r="39" spans="1:32" s="672" customFormat="1" ht="15.75">
      <c r="A39" s="35"/>
      <c r="B39" s="351"/>
      <c r="C39" s="37"/>
      <c r="D39" s="50"/>
      <c r="E39" s="351"/>
      <c r="F39" s="38"/>
      <c r="G39" s="38"/>
      <c r="H39" s="38"/>
      <c r="I39" s="38"/>
      <c r="J39" s="302">
        <v>0.05</v>
      </c>
      <c r="K39" s="38"/>
      <c r="L39" s="302">
        <v>0.1</v>
      </c>
      <c r="M39" s="38"/>
      <c r="N39" s="38">
        <f t="shared" si="6"/>
        <v>0</v>
      </c>
      <c r="O39" s="351"/>
      <c r="Q39"/>
      <c r="R39"/>
      <c r="S39"/>
      <c r="T39" s="470"/>
      <c r="U39"/>
      <c r="V39"/>
      <c r="W39"/>
      <c r="X39"/>
      <c r="Y39"/>
      <c r="Z39"/>
      <c r="AA39"/>
      <c r="AB39"/>
      <c r="AC39"/>
      <c r="AD39"/>
      <c r="AE39"/>
      <c r="AF39"/>
    </row>
    <row r="40" spans="1:32" s="672" customFormat="1" ht="31.5">
      <c r="A40" s="33">
        <v>3</v>
      </c>
      <c r="B40" s="351"/>
      <c r="C40" s="34" t="s">
        <v>1370</v>
      </c>
      <c r="D40" s="50"/>
      <c r="E40" s="351"/>
      <c r="F40" s="38"/>
      <c r="G40" s="38"/>
      <c r="H40" s="38"/>
      <c r="I40" s="36">
        <f>SUM(I41:I44)</f>
        <v>0</v>
      </c>
      <c r="J40" s="1540"/>
      <c r="K40" s="36">
        <f>SUM(K41:K44)</f>
        <v>0</v>
      </c>
      <c r="L40" s="1540"/>
      <c r="M40" s="36">
        <f>SUM(M41:M44)</f>
        <v>0</v>
      </c>
      <c r="N40" s="36">
        <f>SUM(N41:N44)</f>
        <v>0</v>
      </c>
      <c r="O40" s="351"/>
      <c r="Q40"/>
      <c r="R40"/>
      <c r="S40"/>
      <c r="T40" s="470"/>
      <c r="U40"/>
      <c r="V40"/>
      <c r="W40"/>
      <c r="X40"/>
      <c r="Y40"/>
      <c r="Z40"/>
      <c r="AA40"/>
      <c r="AB40"/>
      <c r="AC40"/>
      <c r="AD40"/>
      <c r="AE40"/>
      <c r="AF40"/>
    </row>
    <row r="41" spans="1:32" s="672" customFormat="1" ht="31.5">
      <c r="A41" s="35"/>
      <c r="B41" s="351"/>
      <c r="C41" s="37" t="s">
        <v>1371</v>
      </c>
      <c r="D41" s="50"/>
      <c r="E41" s="351"/>
      <c r="F41" s="38"/>
      <c r="G41" s="38"/>
      <c r="H41" s="38"/>
      <c r="I41" s="38"/>
      <c r="J41" s="302"/>
      <c r="K41" s="38"/>
      <c r="L41" s="302"/>
      <c r="M41" s="38"/>
      <c r="N41" s="38"/>
      <c r="O41" s="351"/>
      <c r="Q41"/>
      <c r="R41"/>
      <c r="S41"/>
      <c r="T41" s="470"/>
      <c r="U41"/>
      <c r="V41"/>
      <c r="W41"/>
      <c r="X41"/>
      <c r="Y41"/>
      <c r="Z41"/>
      <c r="AA41"/>
      <c r="AB41"/>
      <c r="AC41"/>
      <c r="AD41"/>
      <c r="AE41"/>
      <c r="AF41"/>
    </row>
    <row r="42" spans="1:32" s="672" customFormat="1" ht="31.5">
      <c r="A42" s="35"/>
      <c r="B42" s="351"/>
      <c r="C42" s="37" t="s">
        <v>1372</v>
      </c>
      <c r="D42" s="50"/>
      <c r="E42" s="351"/>
      <c r="F42" s="38"/>
      <c r="G42" s="38"/>
      <c r="H42" s="38"/>
      <c r="I42" s="38"/>
      <c r="J42" s="302"/>
      <c r="K42" s="38"/>
      <c r="L42" s="302"/>
      <c r="M42" s="38"/>
      <c r="N42" s="38"/>
      <c r="O42" s="351"/>
      <c r="Q42"/>
      <c r="R42"/>
      <c r="S42"/>
      <c r="T42" s="470"/>
      <c r="U42"/>
      <c r="V42"/>
      <c r="W42"/>
      <c r="X42"/>
      <c r="Y42"/>
      <c r="Z42"/>
      <c r="AA42"/>
      <c r="AB42"/>
      <c r="AC42"/>
      <c r="AD42"/>
      <c r="AE42"/>
      <c r="AF42"/>
    </row>
    <row r="43" spans="1:32" s="672" customFormat="1" ht="31.5">
      <c r="A43" s="35"/>
      <c r="B43" s="351"/>
      <c r="C43" s="37" t="s">
        <v>1373</v>
      </c>
      <c r="D43" s="50"/>
      <c r="E43" s="351"/>
      <c r="F43" s="38"/>
      <c r="G43" s="38"/>
      <c r="H43" s="38"/>
      <c r="I43" s="38"/>
      <c r="J43" s="302"/>
      <c r="K43" s="38"/>
      <c r="L43" s="302"/>
      <c r="M43" s="38"/>
      <c r="N43" s="38"/>
      <c r="O43" s="351"/>
      <c r="Q43"/>
      <c r="R43"/>
      <c r="S43"/>
      <c r="T43" s="470"/>
      <c r="U43"/>
      <c r="V43"/>
      <c r="W43"/>
      <c r="X43"/>
      <c r="Y43"/>
      <c r="Z43"/>
      <c r="AA43"/>
      <c r="AB43"/>
      <c r="AC43"/>
      <c r="AD43"/>
      <c r="AE43"/>
      <c r="AF43"/>
    </row>
    <row r="44" spans="1:32" s="672" customFormat="1" ht="31.5">
      <c r="A44" s="35"/>
      <c r="B44" s="351"/>
      <c r="C44" s="37" t="s">
        <v>1374</v>
      </c>
      <c r="D44" s="50"/>
      <c r="E44" s="351"/>
      <c r="F44" s="38"/>
      <c r="G44" s="38"/>
      <c r="H44" s="38"/>
      <c r="I44" s="38"/>
      <c r="J44" s="302"/>
      <c r="K44" s="38"/>
      <c r="L44" s="302"/>
      <c r="M44" s="38"/>
      <c r="N44" s="38"/>
      <c r="O44" s="351"/>
      <c r="Q44"/>
      <c r="R44"/>
      <c r="S44"/>
      <c r="T44" s="470"/>
      <c r="U44"/>
      <c r="V44"/>
      <c r="W44"/>
      <c r="X44"/>
      <c r="Y44"/>
      <c r="Z44"/>
      <c r="AA44"/>
      <c r="AB44"/>
      <c r="AC44"/>
      <c r="AD44"/>
      <c r="AE44"/>
      <c r="AF44"/>
    </row>
    <row r="45" spans="1:32" ht="15.75">
      <c r="A45" s="1528"/>
      <c r="B45" s="1529"/>
      <c r="C45" s="1530"/>
      <c r="D45" s="1531"/>
      <c r="E45" s="1531"/>
      <c r="F45" s="1532"/>
      <c r="G45" s="1532"/>
      <c r="H45" s="1532"/>
      <c r="I45" s="1533"/>
      <c r="J45" s="1532"/>
      <c r="K45" s="1532"/>
      <c r="L45" s="1532"/>
      <c r="M45" s="1533"/>
      <c r="N45" s="1533"/>
      <c r="O45" s="1534"/>
    </row>
    <row r="46" spans="1:32" ht="15.75">
      <c r="A46" s="43"/>
      <c r="C46" s="44"/>
      <c r="D46" s="44"/>
      <c r="E46" s="43"/>
      <c r="F46" s="174"/>
      <c r="G46" s="174"/>
      <c r="H46" s="174"/>
      <c r="I46" s="174"/>
      <c r="J46" s="177"/>
      <c r="K46" s="174"/>
      <c r="L46" s="177"/>
      <c r="M46" s="45"/>
      <c r="N46" s="45"/>
      <c r="O46" s="732"/>
    </row>
    <row r="47" spans="1:32" ht="15.75">
      <c r="A47" s="43"/>
      <c r="C47" s="44" t="s">
        <v>51</v>
      </c>
      <c r="D47" s="44"/>
      <c r="E47" s="46" t="s">
        <v>52</v>
      </c>
      <c r="F47" s="46"/>
      <c r="G47" s="46"/>
      <c r="H47" s="46"/>
      <c r="I47" s="46"/>
      <c r="K47" s="46"/>
      <c r="M47" s="175"/>
      <c r="N47" s="175"/>
    </row>
    <row r="48" spans="1:32" ht="15.75">
      <c r="A48" s="43"/>
      <c r="C48" s="44"/>
      <c r="D48" s="44"/>
      <c r="E48" s="46"/>
      <c r="F48" s="46"/>
      <c r="G48" s="46"/>
      <c r="H48" s="46"/>
      <c r="I48" s="46"/>
      <c r="K48" s="46"/>
      <c r="M48" s="175"/>
      <c r="N48" s="175"/>
    </row>
    <row r="49" spans="1:15" ht="15.75">
      <c r="A49" s="43"/>
      <c r="C49" s="629"/>
      <c r="D49" s="44"/>
      <c r="E49" s="46"/>
      <c r="F49" s="46"/>
      <c r="G49" s="46"/>
      <c r="H49" s="46"/>
      <c r="I49" s="46"/>
      <c r="K49" s="46"/>
      <c r="M49" s="175"/>
      <c r="N49" s="175"/>
    </row>
    <row r="50" spans="1:15" ht="15.75">
      <c r="A50" s="43"/>
      <c r="C50" s="44"/>
      <c r="D50" s="44"/>
      <c r="E50" s="46"/>
      <c r="F50" s="46"/>
      <c r="G50" s="46"/>
      <c r="H50" s="46"/>
      <c r="I50" s="46"/>
      <c r="K50" s="46"/>
      <c r="M50" s="175"/>
      <c r="N50" s="175"/>
    </row>
    <row r="51" spans="1:15" ht="15.75">
      <c r="A51" s="43"/>
      <c r="C51" s="44"/>
      <c r="D51" s="44"/>
      <c r="E51" s="47" t="s">
        <v>53</v>
      </c>
      <c r="F51" s="46"/>
      <c r="G51" s="46"/>
      <c r="H51" s="46"/>
      <c r="I51" s="46"/>
      <c r="K51" s="46"/>
      <c r="M51" s="175"/>
      <c r="N51" s="175"/>
    </row>
    <row r="52" spans="1:15" ht="15.75">
      <c r="A52" s="118"/>
      <c r="C52" s="119"/>
      <c r="D52" s="119"/>
      <c r="E52" s="69"/>
      <c r="F52" s="176"/>
      <c r="G52" s="176"/>
      <c r="H52" s="176"/>
      <c r="I52" s="177"/>
      <c r="J52" s="177"/>
      <c r="K52" s="176"/>
      <c r="L52" s="177"/>
      <c r="M52" s="120"/>
      <c r="N52" s="120"/>
      <c r="O52" s="732"/>
    </row>
  </sheetData>
  <mergeCells count="8">
    <mergeCell ref="N5:N6"/>
    <mergeCell ref="O5:O6"/>
    <mergeCell ref="A5:A6"/>
    <mergeCell ref="B5:B6"/>
    <mergeCell ref="C5:C6"/>
    <mergeCell ref="D5:D6"/>
    <mergeCell ref="E5:E6"/>
    <mergeCell ref="I5:I6"/>
  </mergeCells>
  <dataValidations disablePrompts="1" count="1">
    <dataValidation allowBlank="1" showInputMessage="1" showErrorMessage="1" promptTitle="Nhập từ khóa để tra tên thiết bị" prompt="Ví dụ: điều+hòa; biến+áp" sqref="B8"/>
  </dataValidations>
  <pageMargins left="0.7" right="0.7" top="0.75" bottom="0.75" header="0.3" footer="0.3"/>
  <ignoredErrors>
    <ignoredError sqref="A2:A3" unlockedFormula="1"/>
    <ignoredError sqref="N14" formula="1"/>
  </ignoredErrors>
  <legacyDrawing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Nhancong">
    <tabColor rgb="FFC00000"/>
  </sheetPr>
  <dimension ref="A1:H15"/>
  <sheetViews>
    <sheetView showZeros="0" workbookViewId="0">
      <selection activeCell="B7" sqref="B7"/>
    </sheetView>
  </sheetViews>
  <sheetFormatPr defaultColWidth="9" defaultRowHeight="15.75"/>
  <cols>
    <col min="1" max="1" width="5.42578125" style="197" customWidth="1"/>
    <col min="2" max="2" width="14.5703125" style="197" customWidth="1"/>
    <col min="3" max="3" width="34.42578125" style="1122" customWidth="1"/>
    <col min="4" max="4" width="14.5703125" style="198" customWidth="1"/>
    <col min="5" max="6" width="14.5703125" style="196" customWidth="1"/>
    <col min="7" max="8" width="21" style="1123" customWidth="1"/>
    <col min="9" max="9" width="9" style="196"/>
    <col min="10" max="11" width="9" style="196" customWidth="1"/>
    <col min="12" max="16384" width="9" style="196"/>
  </cols>
  <sheetData>
    <row r="1" spans="1:8" s="192" customFormat="1" ht="25.5">
      <c r="A1" s="865" t="s">
        <v>633</v>
      </c>
      <c r="B1" s="866"/>
      <c r="C1" s="866"/>
      <c r="D1" s="866"/>
      <c r="E1" s="1119"/>
      <c r="F1" s="1119"/>
      <c r="G1" s="867"/>
      <c r="H1" s="867"/>
    </row>
    <row r="2" spans="1:8" s="192" customFormat="1" ht="21.7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869"/>
      <c r="C2" s="868"/>
      <c r="D2" s="869"/>
      <c r="E2" s="1120"/>
      <c r="F2" s="1120"/>
      <c r="G2" s="870"/>
      <c r="H2" s="870"/>
    </row>
    <row r="3" spans="1:8" s="192" customFormat="1" ht="22.15" customHeight="1">
      <c r="A3" s="1019"/>
      <c r="B3" s="869"/>
      <c r="C3" s="868"/>
      <c r="D3" s="869"/>
      <c r="E3" s="1120"/>
      <c r="F3" s="1120"/>
      <c r="G3" s="870"/>
      <c r="H3" s="870"/>
    </row>
    <row r="4" spans="1:8" s="192" customFormat="1" ht="21" customHeight="1">
      <c r="A4" s="194"/>
      <c r="B4" s="194"/>
      <c r="C4" s="1121"/>
      <c r="D4" s="194"/>
      <c r="E4" s="1124"/>
      <c r="F4" s="1124"/>
      <c r="G4" s="871"/>
      <c r="H4" s="871"/>
    </row>
    <row r="5" spans="1:8" s="456" customFormat="1" ht="24" customHeight="1">
      <c r="A5" s="2623" t="s">
        <v>196</v>
      </c>
      <c r="B5" s="2623" t="s">
        <v>135</v>
      </c>
      <c r="C5" s="2623" t="s">
        <v>245</v>
      </c>
      <c r="D5" s="2623" t="s">
        <v>782</v>
      </c>
      <c r="E5" s="2625" t="s">
        <v>791</v>
      </c>
      <c r="F5" s="2625" t="s">
        <v>792</v>
      </c>
      <c r="G5" s="2623" t="s">
        <v>793</v>
      </c>
      <c r="H5" s="2623" t="s">
        <v>796</v>
      </c>
    </row>
    <row r="6" spans="1:8" s="456" customFormat="1" ht="27" customHeight="1">
      <c r="A6" s="2624"/>
      <c r="B6" s="2624"/>
      <c r="C6" s="2624"/>
      <c r="D6" s="2624"/>
      <c r="E6" s="2626"/>
      <c r="F6" s="2626"/>
      <c r="G6" s="2624"/>
      <c r="H6" s="2624"/>
    </row>
    <row r="7" spans="1:8">
      <c r="A7" s="831" t="s">
        <v>273</v>
      </c>
      <c r="B7" s="832" t="s">
        <v>402</v>
      </c>
      <c r="C7" s="832" t="s">
        <v>403</v>
      </c>
      <c r="D7" s="833" t="s">
        <v>276</v>
      </c>
      <c r="E7" s="832" t="s">
        <v>277</v>
      </c>
      <c r="F7" s="832" t="s">
        <v>785</v>
      </c>
      <c r="G7" s="835" t="s">
        <v>278</v>
      </c>
      <c r="H7" s="835" t="s">
        <v>787</v>
      </c>
    </row>
    <row r="8" spans="1:8">
      <c r="A8" s="2238">
        <v>1</v>
      </c>
      <c r="B8" s="2239" t="s">
        <v>2084</v>
      </c>
      <c r="C8" s="2240" t="s">
        <v>2085</v>
      </c>
      <c r="D8" s="2241" t="s">
        <v>2077</v>
      </c>
      <c r="E8" s="2240">
        <v>1.39</v>
      </c>
      <c r="F8" s="2240">
        <v>1.52</v>
      </c>
      <c r="G8" s="2242">
        <f>Ts!N53</f>
        <v>249900</v>
      </c>
      <c r="H8" s="2242">
        <f t="shared" ref="H8:H14" si="0">E8*G8/F8</f>
        <v>228526.97368421053</v>
      </c>
    </row>
    <row r="9" spans="1:8">
      <c r="A9" s="2243">
        <v>2</v>
      </c>
      <c r="B9" s="2244" t="s">
        <v>2089</v>
      </c>
      <c r="C9" s="2245" t="s">
        <v>2090</v>
      </c>
      <c r="D9" s="2246" t="s">
        <v>2079</v>
      </c>
      <c r="E9" s="2245">
        <v>1.65</v>
      </c>
      <c r="F9" s="2245">
        <v>1.52</v>
      </c>
      <c r="G9" s="2247">
        <f>Ts!N53</f>
        <v>249900</v>
      </c>
      <c r="H9" s="2247">
        <f t="shared" si="0"/>
        <v>271273.0263157895</v>
      </c>
    </row>
    <row r="10" spans="1:8">
      <c r="A10" s="2243">
        <v>3</v>
      </c>
      <c r="B10" s="2244" t="s">
        <v>2093</v>
      </c>
      <c r="C10" s="2245" t="s">
        <v>2094</v>
      </c>
      <c r="D10" s="2246" t="s">
        <v>2095</v>
      </c>
      <c r="E10" s="2245">
        <v>1.18</v>
      </c>
      <c r="F10" s="2245">
        <v>1.18</v>
      </c>
      <c r="G10" s="2247">
        <f>Ts!N67</f>
        <v>249900</v>
      </c>
      <c r="H10" s="2247">
        <f t="shared" si="0"/>
        <v>249900</v>
      </c>
    </row>
    <row r="11" spans="1:8">
      <c r="A11" s="2243">
        <v>4</v>
      </c>
      <c r="B11" s="2244" t="s">
        <v>2106</v>
      </c>
      <c r="C11" s="2245" t="s">
        <v>2107</v>
      </c>
      <c r="D11" s="2246" t="s">
        <v>2108</v>
      </c>
      <c r="E11" s="2245">
        <v>1.94</v>
      </c>
      <c r="F11" s="2245">
        <v>1.52</v>
      </c>
      <c r="G11" s="2247">
        <f>Ts!N53</f>
        <v>249900</v>
      </c>
      <c r="H11" s="2247">
        <f t="shared" si="0"/>
        <v>318951.31578947371</v>
      </c>
    </row>
    <row r="12" spans="1:8">
      <c r="A12" s="2383">
        <v>5</v>
      </c>
      <c r="B12" s="2384" t="s">
        <v>2133</v>
      </c>
      <c r="C12" s="2385" t="s">
        <v>2134</v>
      </c>
      <c r="D12" s="2386" t="s">
        <v>2077</v>
      </c>
      <c r="E12" s="2385">
        <v>1.39</v>
      </c>
      <c r="F12" s="2385">
        <v>1.52</v>
      </c>
      <c r="G12" s="2387">
        <f>Ts!N57</f>
        <v>0</v>
      </c>
      <c r="H12" s="2387">
        <f t="shared" si="0"/>
        <v>0</v>
      </c>
    </row>
    <row r="13" spans="1:8">
      <c r="A13" s="2383">
        <v>6</v>
      </c>
      <c r="B13" s="2384" t="s">
        <v>2135</v>
      </c>
      <c r="C13" s="2385" t="s">
        <v>2136</v>
      </c>
      <c r="D13" s="2386" t="s">
        <v>2079</v>
      </c>
      <c r="E13" s="2385">
        <v>1.65</v>
      </c>
      <c r="F13" s="2385">
        <v>1.52</v>
      </c>
      <c r="G13" s="2387">
        <f>Ts!N57</f>
        <v>0</v>
      </c>
      <c r="H13" s="2387">
        <f t="shared" si="0"/>
        <v>0</v>
      </c>
    </row>
    <row r="14" spans="1:8">
      <c r="A14" s="2383">
        <v>7</v>
      </c>
      <c r="B14" s="2384" t="s">
        <v>2137</v>
      </c>
      <c r="C14" s="2385" t="s">
        <v>2138</v>
      </c>
      <c r="D14" s="2386" t="s">
        <v>2108</v>
      </c>
      <c r="E14" s="2385">
        <v>1.94</v>
      </c>
      <c r="F14" s="2385">
        <v>1.52</v>
      </c>
      <c r="G14" s="2387">
        <f>Ts!N57</f>
        <v>0</v>
      </c>
      <c r="H14" s="2387">
        <f t="shared" si="0"/>
        <v>0</v>
      </c>
    </row>
    <row r="15" spans="1:8">
      <c r="A15" s="2388"/>
      <c r="B15" s="2388"/>
      <c r="C15" s="2389"/>
      <c r="D15" s="2390"/>
      <c r="E15" s="2391"/>
      <c r="F15" s="2391"/>
      <c r="G15" s="2392"/>
      <c r="H15" s="2392"/>
    </row>
  </sheetData>
  <mergeCells count="8">
    <mergeCell ref="H5:H6"/>
    <mergeCell ref="G5:G6"/>
    <mergeCell ref="F5:F6"/>
    <mergeCell ref="A5:A6"/>
    <mergeCell ref="B5:B6"/>
    <mergeCell ref="C5:C6"/>
    <mergeCell ref="D5:D6"/>
    <mergeCell ref="E5:E6"/>
  </mergeCells>
  <phoneticPr fontId="60" type="noConversion"/>
  <dataValidations count="1">
    <dataValidation allowBlank="1" showInputMessage="1" showErrorMessage="1" sqref="B7:B14"/>
  </dataValidations>
  <printOptions horizontalCentered="1"/>
  <pageMargins left="0.75" right="0.25" top="0.75" bottom="0.5" header="0.25" footer="0.25"/>
  <pageSetup paperSize="9" orientation="landscape" blackAndWhite="1" horizontalDpi="300" verticalDpi="300" r:id="rId1"/>
  <headerFooter>
    <oddHeader>&amp;L&amp;"+,nghiêng"&amp;10Dự toán GXD - www.giaxaydung.vn</oddHeader>
    <oddFooter>&amp;C&amp;P</oddFooter>
  </headerFooter>
  <ignoredErrors>
    <ignoredError sqref="A2" unlockedFormula="1"/>
  </ignoredErrors>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1"/>
  </sheetPr>
  <dimension ref="A1:I13"/>
  <sheetViews>
    <sheetView showZeros="0" zoomScaleSheetLayoutView="80" workbookViewId="0">
      <selection activeCell="B7" sqref="B7"/>
    </sheetView>
  </sheetViews>
  <sheetFormatPr defaultColWidth="9.140625" defaultRowHeight="15"/>
  <cols>
    <col min="1" max="1" width="8" customWidth="1"/>
    <col min="2" max="2" width="31.85546875" customWidth="1"/>
    <col min="3" max="3" width="8" customWidth="1"/>
    <col min="5" max="5" width="14" customWidth="1"/>
    <col min="6" max="6" width="17.140625" customWidth="1"/>
    <col min="7" max="7" width="13.85546875" customWidth="1"/>
    <col min="8" max="8" width="15.140625" customWidth="1"/>
    <col min="9" max="9" width="10" style="470" customWidth="1"/>
  </cols>
  <sheetData>
    <row r="1" spans="1:9" s="79" customFormat="1" ht="22.5">
      <c r="A1" s="257" t="s">
        <v>728</v>
      </c>
      <c r="B1" s="257"/>
      <c r="C1" s="124"/>
      <c r="D1" s="124"/>
      <c r="E1" s="124"/>
      <c r="F1" s="124"/>
      <c r="G1" s="124"/>
      <c r="H1" s="125"/>
      <c r="I1" s="606"/>
    </row>
    <row r="2" spans="1:9" s="79" customFormat="1"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26"/>
      <c r="C2" s="126"/>
      <c r="D2" s="126"/>
      <c r="E2" s="126"/>
      <c r="F2" s="126"/>
      <c r="G2" s="126"/>
      <c r="H2" s="127"/>
      <c r="I2" s="606"/>
    </row>
    <row r="3" spans="1:9" s="79" customFormat="1" ht="22.15" customHeight="1">
      <c r="A3" s="1019" t="str">
        <f>'Bia-DTTB'!D43&amp;'Bia-DTTB'!E43</f>
        <v>HẠNG MỤC: MẪU NO-01-110-2-TCL</v>
      </c>
      <c r="B3" s="126"/>
      <c r="C3" s="126"/>
      <c r="D3" s="126"/>
      <c r="E3" s="126"/>
      <c r="F3" s="126"/>
      <c r="G3" s="126"/>
      <c r="H3" s="127"/>
      <c r="I3" s="606"/>
    </row>
    <row r="4" spans="1:9">
      <c r="H4" s="56" t="s">
        <v>310</v>
      </c>
    </row>
    <row r="5" spans="1:9" ht="47.25">
      <c r="A5" s="1040" t="s">
        <v>196</v>
      </c>
      <c r="B5" s="1032" t="s">
        <v>721</v>
      </c>
      <c r="C5" s="1032" t="s">
        <v>157</v>
      </c>
      <c r="D5" s="1032" t="s">
        <v>136</v>
      </c>
      <c r="E5" s="1036" t="s">
        <v>152</v>
      </c>
      <c r="F5" s="1032" t="s">
        <v>45</v>
      </c>
      <c r="G5" s="1032" t="s">
        <v>46</v>
      </c>
      <c r="H5" s="1032" t="s">
        <v>47</v>
      </c>
      <c r="I5" s="1032" t="s">
        <v>155</v>
      </c>
    </row>
    <row r="6" spans="1:9" ht="18" customHeight="1">
      <c r="A6" s="128"/>
      <c r="B6" s="129"/>
      <c r="C6" s="128"/>
      <c r="D6" s="128"/>
      <c r="E6" s="128"/>
      <c r="F6" s="130">
        <f>D6*E6</f>
        <v>0</v>
      </c>
      <c r="G6" s="130">
        <f>F6*I6</f>
        <v>0</v>
      </c>
      <c r="H6" s="130">
        <f>F6+G6</f>
        <v>0</v>
      </c>
      <c r="I6" s="302">
        <v>0.1</v>
      </c>
    </row>
    <row r="7" spans="1:9" ht="18" customHeight="1">
      <c r="A7" s="35"/>
      <c r="B7" s="123"/>
      <c r="C7" s="35"/>
      <c r="D7" s="35"/>
      <c r="E7" s="35"/>
      <c r="F7" s="130">
        <f>D7*E7</f>
        <v>0</v>
      </c>
      <c r="G7" s="130">
        <f t="shared" ref="G7:G10" si="0">F7*I7</f>
        <v>0</v>
      </c>
      <c r="H7" s="130">
        <f t="shared" ref="H7:H10" si="1">F7+G7</f>
        <v>0</v>
      </c>
      <c r="I7" s="302">
        <v>0.1</v>
      </c>
    </row>
    <row r="8" spans="1:9" ht="18" customHeight="1">
      <c r="A8" s="35"/>
      <c r="B8" s="123"/>
      <c r="C8" s="35"/>
      <c r="D8" s="35"/>
      <c r="E8" s="35"/>
      <c r="F8" s="130">
        <f>D8*E8</f>
        <v>0</v>
      </c>
      <c r="G8" s="130">
        <f t="shared" si="0"/>
        <v>0</v>
      </c>
      <c r="H8" s="130">
        <f t="shared" si="1"/>
        <v>0</v>
      </c>
      <c r="I8" s="302">
        <v>0.1</v>
      </c>
    </row>
    <row r="9" spans="1:9" ht="18" customHeight="1">
      <c r="A9" s="35"/>
      <c r="B9" s="123"/>
      <c r="C9" s="35"/>
      <c r="D9" s="35"/>
      <c r="E9" s="35"/>
      <c r="F9" s="130">
        <f>D9*E9</f>
        <v>0</v>
      </c>
      <c r="G9" s="130">
        <f t="shared" si="0"/>
        <v>0</v>
      </c>
      <c r="H9" s="130">
        <f t="shared" si="1"/>
        <v>0</v>
      </c>
      <c r="I9" s="302">
        <v>0.1</v>
      </c>
    </row>
    <row r="10" spans="1:9" ht="18" customHeight="1">
      <c r="A10" s="35"/>
      <c r="B10" s="123"/>
      <c r="C10" s="35"/>
      <c r="D10" s="35"/>
      <c r="E10" s="35"/>
      <c r="F10" s="130">
        <f>D10*E10</f>
        <v>0</v>
      </c>
      <c r="G10" s="130">
        <f t="shared" si="0"/>
        <v>0</v>
      </c>
      <c r="H10" s="130">
        <f t="shared" si="1"/>
        <v>0</v>
      </c>
      <c r="I10" s="302">
        <v>0.1</v>
      </c>
    </row>
    <row r="11" spans="1:9" ht="15.75">
      <c r="A11" s="137"/>
      <c r="B11" s="140" t="s">
        <v>118</v>
      </c>
      <c r="C11" s="141"/>
      <c r="D11" s="141"/>
      <c r="E11" s="141"/>
      <c r="F11" s="130">
        <f>SUM(F6:F10)</f>
        <v>0</v>
      </c>
      <c r="G11" s="130">
        <f>SUM(G6:G10)</f>
        <v>0</v>
      </c>
      <c r="H11" s="130">
        <f t="shared" ref="H11" si="2">SUM(H6:H10)</f>
        <v>0</v>
      </c>
      <c r="I11" s="302"/>
    </row>
    <row r="12" spans="1:9" ht="18" customHeight="1">
      <c r="A12" s="142"/>
      <c r="B12" s="1030" t="s">
        <v>170</v>
      </c>
      <c r="C12" s="210"/>
      <c r="D12" s="210"/>
      <c r="E12" s="210"/>
      <c r="F12" s="211">
        <f>ROUND(F11,-3)</f>
        <v>0</v>
      </c>
      <c r="G12" s="211">
        <f>ROUND(G11,-3)</f>
        <v>0</v>
      </c>
      <c r="H12" s="211">
        <f>ROUND(H11,-3)</f>
        <v>0</v>
      </c>
      <c r="I12" s="609"/>
    </row>
    <row r="13" spans="1:9" ht="15.75">
      <c r="A13" s="143"/>
      <c r="B13" s="144"/>
      <c r="C13" s="145"/>
      <c r="D13" s="145"/>
      <c r="E13" s="145"/>
      <c r="F13" s="143"/>
      <c r="G13" s="146"/>
      <c r="H13" s="43"/>
    </row>
  </sheetData>
  <printOptions horizontalCentered="1"/>
  <pageMargins left="0.75" right="0.25" top="0.75" bottom="0.5" header="0.25" footer="0.25"/>
  <pageSetup paperSize="9" orientation="landscape" blackAndWhite="1" horizontalDpi="300" verticalDpi="300" r:id="rId1"/>
  <headerFooter>
    <oddHeader>&amp;L&amp;"+,nghiêng"&amp;10Dự toán GXD - www.giaxaydung.vn</oddHeader>
    <oddFooter>&amp;C&amp;P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indexed="8"/>
  </sheetPr>
  <dimension ref="A1:I22"/>
  <sheetViews>
    <sheetView showZeros="0" zoomScaleSheetLayoutView="80" workbookViewId="0">
      <selection activeCell="B7" sqref="B7"/>
    </sheetView>
  </sheetViews>
  <sheetFormatPr defaultRowHeight="15"/>
  <cols>
    <col min="1" max="1" width="8" customWidth="1"/>
    <col min="2" max="2" width="31.85546875" customWidth="1"/>
    <col min="4" max="4" width="11" customWidth="1"/>
    <col min="5" max="5" width="14" customWidth="1"/>
    <col min="6" max="6" width="17.140625" customWidth="1"/>
    <col min="7" max="7" width="13.85546875" customWidth="1"/>
    <col min="8" max="8" width="15.140625" customWidth="1"/>
    <col min="9" max="9" width="10" style="470" customWidth="1"/>
  </cols>
  <sheetData>
    <row r="1" spans="1:9" s="79" customFormat="1" ht="22.5">
      <c r="A1" s="257" t="s">
        <v>715</v>
      </c>
      <c r="B1" s="257"/>
      <c r="C1" s="124"/>
      <c r="D1" s="124"/>
      <c r="E1" s="124"/>
      <c r="F1" s="124"/>
      <c r="G1" s="124"/>
      <c r="H1" s="125"/>
      <c r="I1" s="606"/>
    </row>
    <row r="2" spans="1:9" s="79" customFormat="1"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26"/>
      <c r="C2" s="126"/>
      <c r="D2" s="126"/>
      <c r="E2" s="126"/>
      <c r="F2" s="126"/>
      <c r="G2" s="126"/>
      <c r="H2" s="127"/>
      <c r="I2" s="606"/>
    </row>
    <row r="3" spans="1:9" s="79" customFormat="1" ht="22.15" customHeight="1">
      <c r="A3" s="1019" t="str">
        <f>'Bia-DTTB'!D43&amp;'Bia-DTTB'!E43</f>
        <v>HẠNG MỤC: MẪU NO-01-110-2-TCL</v>
      </c>
      <c r="B3" s="126"/>
      <c r="C3" s="126"/>
      <c r="D3" s="126"/>
      <c r="E3" s="126"/>
      <c r="F3" s="126"/>
      <c r="G3" s="126"/>
      <c r="H3" s="127"/>
      <c r="I3" s="606"/>
    </row>
    <row r="4" spans="1:9">
      <c r="H4" s="56" t="s">
        <v>310</v>
      </c>
    </row>
    <row r="5" spans="1:9" ht="47.25">
      <c r="A5" s="1040" t="s">
        <v>196</v>
      </c>
      <c r="B5" s="1032" t="s">
        <v>42</v>
      </c>
      <c r="C5" s="1032" t="s">
        <v>157</v>
      </c>
      <c r="D5" s="1036" t="s">
        <v>136</v>
      </c>
      <c r="E5" s="1036" t="s">
        <v>152</v>
      </c>
      <c r="F5" s="1032" t="s">
        <v>45</v>
      </c>
      <c r="G5" s="1032" t="s">
        <v>46</v>
      </c>
      <c r="H5" s="1032" t="s">
        <v>47</v>
      </c>
      <c r="I5" s="1032" t="s">
        <v>155</v>
      </c>
    </row>
    <row r="6" spans="1:9" ht="18" customHeight="1">
      <c r="A6" s="128" t="s">
        <v>73</v>
      </c>
      <c r="B6" s="129" t="s">
        <v>109</v>
      </c>
      <c r="C6" s="128"/>
      <c r="D6" s="128"/>
      <c r="E6" s="128"/>
      <c r="F6" s="130">
        <f>SUM(F7,F11,F12:F15)</f>
        <v>0</v>
      </c>
      <c r="G6" s="130">
        <f>SUM(G7,G11,G12:G15)</f>
        <v>0</v>
      </c>
      <c r="H6" s="130">
        <f>SUM(H7,H11,H12:H15)</f>
        <v>0</v>
      </c>
      <c r="I6" s="302"/>
    </row>
    <row r="7" spans="1:9" ht="18" customHeight="1">
      <c r="A7" s="35">
        <v>1</v>
      </c>
      <c r="B7" s="123" t="s">
        <v>158</v>
      </c>
      <c r="C7" s="35"/>
      <c r="D7" s="35"/>
      <c r="E7" s="35"/>
      <c r="F7" s="131">
        <f>SUM(F8:F10)</f>
        <v>0</v>
      </c>
      <c r="G7" s="131">
        <f>SUM(G8:G10)</f>
        <v>0</v>
      </c>
      <c r="H7" s="131">
        <f>SUM(H8:H10)</f>
        <v>0</v>
      </c>
      <c r="I7" s="302"/>
    </row>
    <row r="8" spans="1:9" ht="18" customHeight="1">
      <c r="A8" s="35"/>
      <c r="B8" s="123" t="s">
        <v>159</v>
      </c>
      <c r="C8" s="35"/>
      <c r="D8" s="35"/>
      <c r="E8" s="35"/>
      <c r="F8" s="131">
        <f>D8*E8</f>
        <v>0</v>
      </c>
      <c r="G8" s="131">
        <f t="shared" ref="G8:G17" si="0">F8*I8</f>
        <v>0</v>
      </c>
      <c r="H8" s="132">
        <f t="shared" ref="H8:H18" si="1">F8+G8</f>
        <v>0</v>
      </c>
      <c r="I8" s="302">
        <v>0.1</v>
      </c>
    </row>
    <row r="9" spans="1:9" ht="18" customHeight="1">
      <c r="A9" s="35"/>
      <c r="B9" s="123" t="s">
        <v>160</v>
      </c>
      <c r="C9" s="35"/>
      <c r="D9" s="35"/>
      <c r="E9" s="35"/>
      <c r="F9" s="131">
        <f t="shared" ref="F9:F18" si="2">D9*E9</f>
        <v>0</v>
      </c>
      <c r="G9" s="131">
        <f t="shared" si="0"/>
        <v>0</v>
      </c>
      <c r="H9" s="132">
        <f t="shared" si="1"/>
        <v>0</v>
      </c>
      <c r="I9" s="302">
        <v>0.1</v>
      </c>
    </row>
    <row r="10" spans="1:9" ht="18" customHeight="1">
      <c r="A10" s="35"/>
      <c r="B10" s="123" t="s">
        <v>161</v>
      </c>
      <c r="C10" s="35"/>
      <c r="D10" s="35"/>
      <c r="E10" s="35"/>
      <c r="F10" s="131">
        <f t="shared" si="2"/>
        <v>0</v>
      </c>
      <c r="G10" s="131">
        <f t="shared" si="0"/>
        <v>0</v>
      </c>
      <c r="H10" s="132">
        <f t="shared" si="1"/>
        <v>0</v>
      </c>
      <c r="I10" s="302">
        <v>0.1</v>
      </c>
    </row>
    <row r="11" spans="1:9" ht="18" customHeight="1">
      <c r="A11" s="35">
        <v>2</v>
      </c>
      <c r="B11" s="123" t="s">
        <v>162</v>
      </c>
      <c r="C11" s="35"/>
      <c r="D11" s="35"/>
      <c r="E11" s="35"/>
      <c r="F11" s="131">
        <f t="shared" si="2"/>
        <v>0</v>
      </c>
      <c r="G11" s="131">
        <f t="shared" si="0"/>
        <v>0</v>
      </c>
      <c r="H11" s="132">
        <f t="shared" si="1"/>
        <v>0</v>
      </c>
      <c r="I11" s="302">
        <v>0.1</v>
      </c>
    </row>
    <row r="12" spans="1:9" ht="18" customHeight="1">
      <c r="A12" s="35">
        <v>3</v>
      </c>
      <c r="B12" s="123" t="s">
        <v>163</v>
      </c>
      <c r="C12" s="35"/>
      <c r="D12" s="35"/>
      <c r="E12" s="35"/>
      <c r="F12" s="131">
        <f t="shared" si="2"/>
        <v>0</v>
      </c>
      <c r="G12" s="131"/>
      <c r="H12" s="132">
        <f t="shared" si="1"/>
        <v>0</v>
      </c>
      <c r="I12" s="302">
        <v>0</v>
      </c>
    </row>
    <row r="13" spans="1:9" ht="18" customHeight="1">
      <c r="A13" s="35">
        <v>4</v>
      </c>
      <c r="B13" s="123" t="s">
        <v>164</v>
      </c>
      <c r="C13" s="35"/>
      <c r="D13" s="35"/>
      <c r="E13" s="35"/>
      <c r="F13" s="131">
        <f t="shared" si="2"/>
        <v>0</v>
      </c>
      <c r="G13" s="131"/>
      <c r="H13" s="132">
        <f t="shared" si="1"/>
        <v>0</v>
      </c>
      <c r="I13" s="302"/>
    </row>
    <row r="14" spans="1:9" ht="18" customHeight="1">
      <c r="A14" s="35">
        <v>5</v>
      </c>
      <c r="B14" s="123" t="s">
        <v>165</v>
      </c>
      <c r="C14" s="35"/>
      <c r="D14" s="35"/>
      <c r="E14" s="35"/>
      <c r="F14" s="131">
        <f t="shared" si="2"/>
        <v>0</v>
      </c>
      <c r="G14" s="131"/>
      <c r="H14" s="132">
        <f t="shared" si="1"/>
        <v>0</v>
      </c>
      <c r="I14" s="302"/>
    </row>
    <row r="15" spans="1:9" ht="18" customHeight="1">
      <c r="A15" s="35"/>
      <c r="B15" s="123" t="s">
        <v>166</v>
      </c>
      <c r="C15" s="35"/>
      <c r="D15" s="35"/>
      <c r="E15" s="35"/>
      <c r="F15" s="131"/>
      <c r="G15" s="131">
        <f t="shared" si="0"/>
        <v>0</v>
      </c>
      <c r="H15" s="132">
        <f t="shared" si="1"/>
        <v>0</v>
      </c>
      <c r="I15" s="302"/>
    </row>
    <row r="16" spans="1:9" ht="18" customHeight="1">
      <c r="A16" s="33" t="s">
        <v>75</v>
      </c>
      <c r="B16" s="133" t="s">
        <v>150</v>
      </c>
      <c r="C16" s="33"/>
      <c r="D16" s="33"/>
      <c r="E16" s="33"/>
      <c r="F16" s="131">
        <f t="shared" si="2"/>
        <v>0</v>
      </c>
      <c r="G16" s="131">
        <f t="shared" si="0"/>
        <v>0</v>
      </c>
      <c r="H16" s="132">
        <f t="shared" si="1"/>
        <v>0</v>
      </c>
      <c r="I16" s="302">
        <v>0.1</v>
      </c>
    </row>
    <row r="17" spans="1:9" ht="18" customHeight="1">
      <c r="A17" s="134" t="s">
        <v>77</v>
      </c>
      <c r="B17" s="135" t="s">
        <v>167</v>
      </c>
      <c r="C17" s="134"/>
      <c r="D17" s="134"/>
      <c r="E17" s="134"/>
      <c r="F17" s="131">
        <f t="shared" si="2"/>
        <v>0</v>
      </c>
      <c r="G17" s="131">
        <f t="shared" si="0"/>
        <v>0</v>
      </c>
      <c r="H17" s="132">
        <f t="shared" si="1"/>
        <v>0</v>
      </c>
      <c r="I17" s="302">
        <v>0.1</v>
      </c>
    </row>
    <row r="18" spans="1:9" ht="18" customHeight="1">
      <c r="A18" s="134" t="s">
        <v>80</v>
      </c>
      <c r="B18" s="135" t="s">
        <v>168</v>
      </c>
      <c r="C18" s="134"/>
      <c r="D18" s="134"/>
      <c r="E18" s="134"/>
      <c r="F18" s="131">
        <f t="shared" si="2"/>
        <v>0</v>
      </c>
      <c r="G18" s="131"/>
      <c r="H18" s="132">
        <f t="shared" si="1"/>
        <v>0</v>
      </c>
      <c r="I18" s="302"/>
    </row>
    <row r="19" spans="1:9" ht="18" customHeight="1">
      <c r="A19" s="137"/>
      <c r="B19" s="138"/>
      <c r="C19" s="137"/>
      <c r="D19" s="137"/>
      <c r="E19" s="137"/>
      <c r="F19" s="139"/>
      <c r="G19" s="139"/>
      <c r="H19" s="139"/>
      <c r="I19" s="607"/>
    </row>
    <row r="20" spans="1:9" ht="15.75">
      <c r="A20" s="137"/>
      <c r="B20" s="140" t="s">
        <v>169</v>
      </c>
      <c r="C20" s="141"/>
      <c r="D20" s="141"/>
      <c r="E20" s="141"/>
      <c r="F20" s="136">
        <f>F6+F16+F17+F18</f>
        <v>0</v>
      </c>
      <c r="G20" s="136">
        <f>G6+G16+G17+G18</f>
        <v>0</v>
      </c>
      <c r="H20" s="136">
        <f>H6+H16+H17+H18</f>
        <v>0</v>
      </c>
      <c r="I20" s="608"/>
    </row>
    <row r="21" spans="1:9" ht="18" customHeight="1">
      <c r="A21" s="142"/>
      <c r="B21" s="1030" t="s">
        <v>170</v>
      </c>
      <c r="C21" s="210"/>
      <c r="D21" s="210"/>
      <c r="E21" s="210"/>
      <c r="F21" s="211">
        <f>ROUND(F20,-3)</f>
        <v>0</v>
      </c>
      <c r="G21" s="211">
        <f>ROUND(G20,-3)</f>
        <v>0</v>
      </c>
      <c r="H21" s="211">
        <f>ROUND(H20,-3)</f>
        <v>0</v>
      </c>
      <c r="I21" s="609"/>
    </row>
    <row r="22" spans="1:9" ht="15.75">
      <c r="A22" s="143"/>
      <c r="B22" s="144"/>
      <c r="C22" s="145"/>
      <c r="D22" s="145"/>
      <c r="E22" s="145"/>
      <c r="F22" s="143"/>
      <c r="G22" s="146"/>
      <c r="H22" s="43"/>
    </row>
  </sheetData>
  <phoneticPr fontId="60" type="noConversion"/>
  <printOptions horizontalCentered="1"/>
  <pageMargins left="0.75" right="0.25" top="0.75" bottom="0.5" header="0.25" footer="0.25"/>
  <pageSetup paperSize="9" orientation="landscape" blackAndWhite="1" horizontalDpi="300" verticalDpi="300" r:id="rId1"/>
  <headerFooter>
    <oddHeader>&amp;L&amp;"+,nghiêng"&amp;10Dự toán GXD - www.giaxaydung.vn</oddHeader>
    <oddFooter>&amp;C&amp;P</oddFooter>
  </headerFooter>
  <ignoredErrors>
    <ignoredError sqref="A2:A3" unlockedFormula="1"/>
  </ignoredError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I13"/>
  <sheetViews>
    <sheetView showZeros="0" zoomScaleSheetLayoutView="80" workbookViewId="0">
      <selection activeCell="B7" sqref="B7"/>
    </sheetView>
  </sheetViews>
  <sheetFormatPr defaultColWidth="9.140625" defaultRowHeight="15"/>
  <cols>
    <col min="1" max="1" width="8" customWidth="1"/>
    <col min="2" max="2" width="31.85546875" customWidth="1"/>
    <col min="3" max="3" width="8" customWidth="1"/>
    <col min="5" max="5" width="14" customWidth="1"/>
    <col min="6" max="6" width="17.140625" customWidth="1"/>
    <col min="7" max="7" width="13.85546875" customWidth="1"/>
    <col min="8" max="8" width="15.140625" customWidth="1"/>
    <col min="9" max="9" width="10" style="470" customWidth="1"/>
  </cols>
  <sheetData>
    <row r="1" spans="1:9" s="79" customFormat="1" ht="22.5">
      <c r="A1" s="257" t="s">
        <v>729</v>
      </c>
      <c r="B1" s="257"/>
      <c r="C1" s="124"/>
      <c r="D1" s="124"/>
      <c r="E1" s="124"/>
      <c r="F1" s="124"/>
      <c r="G1" s="124"/>
      <c r="H1" s="125"/>
      <c r="I1" s="78"/>
    </row>
    <row r="2" spans="1:9" s="79" customFormat="1"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26"/>
      <c r="C2" s="126"/>
      <c r="D2" s="126"/>
      <c r="E2" s="126"/>
      <c r="F2" s="126"/>
      <c r="G2" s="126"/>
      <c r="H2" s="127"/>
      <c r="I2" s="606"/>
    </row>
    <row r="3" spans="1:9" s="79" customFormat="1" ht="22.15" customHeight="1">
      <c r="A3" s="1019" t="str">
        <f>'Bia-DTTB'!D43&amp;'Bia-DTTB'!E43</f>
        <v>HẠNG MỤC: MẪU NO-01-110-2-TCL</v>
      </c>
      <c r="B3" s="126"/>
      <c r="C3" s="126"/>
      <c r="D3" s="126"/>
      <c r="E3" s="126"/>
      <c r="F3" s="126"/>
      <c r="G3" s="126"/>
      <c r="H3" s="127"/>
      <c r="I3" s="606"/>
    </row>
    <row r="4" spans="1:9">
      <c r="H4" s="56" t="s">
        <v>310</v>
      </c>
    </row>
    <row r="5" spans="1:9" ht="47.25">
      <c r="A5" s="1040" t="s">
        <v>196</v>
      </c>
      <c r="B5" s="1032" t="s">
        <v>721</v>
      </c>
      <c r="C5" s="1032" t="s">
        <v>157</v>
      </c>
      <c r="D5" s="1032" t="s">
        <v>136</v>
      </c>
      <c r="E5" s="1036" t="s">
        <v>152</v>
      </c>
      <c r="F5" s="1032" t="s">
        <v>45</v>
      </c>
      <c r="G5" s="1032" t="s">
        <v>46</v>
      </c>
      <c r="H5" s="1032" t="s">
        <v>47</v>
      </c>
      <c r="I5" s="1032" t="s">
        <v>155</v>
      </c>
    </row>
    <row r="6" spans="1:9" ht="18" customHeight="1">
      <c r="A6" s="128"/>
      <c r="B6" s="129"/>
      <c r="C6" s="128"/>
      <c r="D6" s="128"/>
      <c r="E6" s="128"/>
      <c r="F6" s="130">
        <f>D6*E6</f>
        <v>0</v>
      </c>
      <c r="G6" s="130">
        <f>F6*I6</f>
        <v>0</v>
      </c>
      <c r="H6" s="130">
        <f>F6+G6</f>
        <v>0</v>
      </c>
      <c r="I6" s="302">
        <v>0.1</v>
      </c>
    </row>
    <row r="7" spans="1:9" ht="18" customHeight="1">
      <c r="A7" s="35"/>
      <c r="B7" s="123"/>
      <c r="C7" s="35"/>
      <c r="D7" s="35"/>
      <c r="E7" s="35"/>
      <c r="F7" s="130">
        <f>D7*E7</f>
        <v>0</v>
      </c>
      <c r="G7" s="130">
        <f t="shared" ref="G7:G10" si="0">F7*I7</f>
        <v>0</v>
      </c>
      <c r="H7" s="130">
        <f t="shared" ref="H7:H10" si="1">F7+G7</f>
        <v>0</v>
      </c>
      <c r="I7" s="302">
        <v>0.1</v>
      </c>
    </row>
    <row r="8" spans="1:9" ht="18" customHeight="1">
      <c r="A8" s="35"/>
      <c r="B8" s="123"/>
      <c r="C8" s="35"/>
      <c r="D8" s="35"/>
      <c r="E8" s="35"/>
      <c r="F8" s="130">
        <f>D8*E8</f>
        <v>0</v>
      </c>
      <c r="G8" s="130">
        <f t="shared" si="0"/>
        <v>0</v>
      </c>
      <c r="H8" s="130">
        <f t="shared" si="1"/>
        <v>0</v>
      </c>
      <c r="I8" s="302">
        <v>0.1</v>
      </c>
    </row>
    <row r="9" spans="1:9" ht="18" customHeight="1">
      <c r="A9" s="35"/>
      <c r="B9" s="123"/>
      <c r="C9" s="35"/>
      <c r="D9" s="35"/>
      <c r="E9" s="35"/>
      <c r="F9" s="130">
        <f>D9*E9</f>
        <v>0</v>
      </c>
      <c r="G9" s="130">
        <f t="shared" si="0"/>
        <v>0</v>
      </c>
      <c r="H9" s="130">
        <f t="shared" si="1"/>
        <v>0</v>
      </c>
      <c r="I9" s="302">
        <v>0.1</v>
      </c>
    </row>
    <row r="10" spans="1:9" ht="18" customHeight="1">
      <c r="A10" s="35"/>
      <c r="B10" s="123"/>
      <c r="C10" s="35"/>
      <c r="D10" s="35"/>
      <c r="E10" s="35"/>
      <c r="F10" s="130">
        <f>D10*E10</f>
        <v>0</v>
      </c>
      <c r="G10" s="130">
        <f t="shared" si="0"/>
        <v>0</v>
      </c>
      <c r="H10" s="130">
        <f t="shared" si="1"/>
        <v>0</v>
      </c>
      <c r="I10" s="302">
        <v>0.1</v>
      </c>
    </row>
    <row r="11" spans="1:9" ht="15.75">
      <c r="A11" s="137"/>
      <c r="B11" s="140" t="s">
        <v>118</v>
      </c>
      <c r="C11" s="141"/>
      <c r="D11" s="141"/>
      <c r="E11" s="141"/>
      <c r="F11" s="130">
        <f>SUM(F6:F10)</f>
        <v>0</v>
      </c>
      <c r="G11" s="130">
        <f t="shared" ref="G11:H11" si="2">SUM(G6:G10)</f>
        <v>0</v>
      </c>
      <c r="H11" s="130">
        <f t="shared" si="2"/>
        <v>0</v>
      </c>
      <c r="I11" s="302"/>
    </row>
    <row r="12" spans="1:9" ht="18" customHeight="1">
      <c r="A12" s="142"/>
      <c r="B12" s="1030" t="s">
        <v>170</v>
      </c>
      <c r="C12" s="210"/>
      <c r="D12" s="210"/>
      <c r="E12" s="210"/>
      <c r="F12" s="211">
        <f>ROUND(F11,-3)</f>
        <v>0</v>
      </c>
      <c r="G12" s="211">
        <f>ROUND(G11,-3)</f>
        <v>0</v>
      </c>
      <c r="H12" s="211">
        <f>ROUND(H11,-3)</f>
        <v>0</v>
      </c>
      <c r="I12" s="609"/>
    </row>
    <row r="13" spans="1:9" ht="15.75">
      <c r="A13" s="143"/>
      <c r="B13" s="144"/>
      <c r="C13" s="145"/>
      <c r="D13" s="145"/>
      <c r="E13" s="145"/>
      <c r="F13" s="143"/>
      <c r="G13" s="146"/>
      <c r="H13" s="43"/>
    </row>
  </sheetData>
  <printOptions horizontalCentered="1"/>
  <pageMargins left="0.75" right="0.25" top="0.75" bottom="0.5" header="0.25" footer="0.25"/>
  <pageSetup paperSize="9" orientation="landscape" blackAndWhite="1" horizontalDpi="300" verticalDpi="300" r:id="rId1"/>
  <headerFooter>
    <oddHeader>&amp;L&amp;"+,nghiêng"&amp;10Dự toán GXD - www.giaxaydung.vn</oddHeader>
    <oddFooter>&amp;C&amp;P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1"/>
  </sheetPr>
  <dimension ref="A1:J13"/>
  <sheetViews>
    <sheetView showZeros="0" zoomScaleSheetLayoutView="80" workbookViewId="0">
      <selection activeCell="B7" sqref="B7"/>
    </sheetView>
  </sheetViews>
  <sheetFormatPr defaultColWidth="9.140625" defaultRowHeight="15"/>
  <cols>
    <col min="1" max="1" width="8" customWidth="1"/>
    <col min="2" max="2" width="31.85546875" customWidth="1"/>
    <col min="3" max="3" width="8" customWidth="1"/>
    <col min="5" max="5" width="11.42578125" customWidth="1"/>
    <col min="6" max="6" width="14" customWidth="1"/>
    <col min="7" max="7" width="17.140625" customWidth="1"/>
    <col min="8" max="8" width="13.85546875" customWidth="1"/>
    <col min="9" max="9" width="15.140625" customWidth="1"/>
    <col min="10" max="10" width="10" style="470" customWidth="1"/>
  </cols>
  <sheetData>
    <row r="1" spans="1:10" s="79" customFormat="1" ht="22.5">
      <c r="A1" s="257" t="s">
        <v>722</v>
      </c>
      <c r="B1" s="257"/>
      <c r="C1" s="124"/>
      <c r="D1" s="124"/>
      <c r="E1" s="124"/>
      <c r="F1" s="124"/>
      <c r="G1" s="124"/>
      <c r="H1" s="124"/>
      <c r="I1" s="125"/>
      <c r="J1" s="606"/>
    </row>
    <row r="2" spans="1:10" s="79" customFormat="1"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26"/>
      <c r="C2" s="126"/>
      <c r="D2" s="126"/>
      <c r="E2" s="126"/>
      <c r="F2" s="126"/>
      <c r="G2" s="126"/>
      <c r="H2" s="126"/>
      <c r="I2" s="127"/>
      <c r="J2" s="606"/>
    </row>
    <row r="3" spans="1:10" s="79" customFormat="1" ht="22.15" customHeight="1">
      <c r="A3" s="1019" t="str">
        <f>'Bia-DTTB'!D43&amp;'Bia-DTTB'!E43</f>
        <v>HẠNG MỤC: MẪU NO-01-110-2-TCL</v>
      </c>
      <c r="B3" s="126"/>
      <c r="C3" s="126"/>
      <c r="D3" s="126"/>
      <c r="E3" s="126"/>
      <c r="F3" s="126"/>
      <c r="G3" s="126"/>
      <c r="H3" s="126"/>
      <c r="I3" s="127"/>
      <c r="J3" s="606"/>
    </row>
    <row r="4" spans="1:10">
      <c r="I4" s="56" t="s">
        <v>310</v>
      </c>
    </row>
    <row r="5" spans="1:10" ht="47.25">
      <c r="A5" s="1040" t="s">
        <v>196</v>
      </c>
      <c r="B5" s="1032" t="s">
        <v>721</v>
      </c>
      <c r="C5" s="1032" t="s">
        <v>157</v>
      </c>
      <c r="D5" s="1032" t="s">
        <v>136</v>
      </c>
      <c r="E5" s="1036" t="s">
        <v>723</v>
      </c>
      <c r="F5" s="1036" t="s">
        <v>152</v>
      </c>
      <c r="G5" s="1032" t="s">
        <v>45</v>
      </c>
      <c r="H5" s="1032" t="s">
        <v>46</v>
      </c>
      <c r="I5" s="1032" t="s">
        <v>47</v>
      </c>
      <c r="J5" s="1032" t="s">
        <v>155</v>
      </c>
    </row>
    <row r="6" spans="1:10" ht="18" customHeight="1">
      <c r="A6" s="128"/>
      <c r="B6" s="129"/>
      <c r="C6" s="128"/>
      <c r="D6" s="128"/>
      <c r="E6" s="128"/>
      <c r="F6" s="128"/>
      <c r="G6" s="130">
        <f>D6*E6*F6</f>
        <v>0</v>
      </c>
      <c r="H6" s="130"/>
      <c r="I6" s="130"/>
      <c r="J6" s="302">
        <v>0.1</v>
      </c>
    </row>
    <row r="7" spans="1:10" ht="18" customHeight="1">
      <c r="A7" s="35"/>
      <c r="B7" s="123"/>
      <c r="C7" s="35"/>
      <c r="D7" s="35"/>
      <c r="E7" s="35"/>
      <c r="F7" s="35"/>
      <c r="G7" s="130">
        <f t="shared" ref="G7:G10" si="0">D7*E7*F7</f>
        <v>0</v>
      </c>
      <c r="H7" s="131"/>
      <c r="I7" s="131"/>
      <c r="J7" s="302">
        <v>0.1</v>
      </c>
    </row>
    <row r="8" spans="1:10" ht="18" customHeight="1">
      <c r="A8" s="35"/>
      <c r="B8" s="123"/>
      <c r="C8" s="35"/>
      <c r="D8" s="35"/>
      <c r="E8" s="35"/>
      <c r="F8" s="35"/>
      <c r="G8" s="130">
        <f t="shared" si="0"/>
        <v>0</v>
      </c>
      <c r="H8" s="131"/>
      <c r="I8" s="132"/>
      <c r="J8" s="302">
        <v>0.1</v>
      </c>
    </row>
    <row r="9" spans="1:10" ht="18" customHeight="1">
      <c r="A9" s="35"/>
      <c r="B9" s="123"/>
      <c r="C9" s="35"/>
      <c r="D9" s="35"/>
      <c r="E9" s="35"/>
      <c r="F9" s="35"/>
      <c r="G9" s="130">
        <f t="shared" si="0"/>
        <v>0</v>
      </c>
      <c r="H9" s="131"/>
      <c r="I9" s="132"/>
      <c r="J9" s="302">
        <v>0.1</v>
      </c>
    </row>
    <row r="10" spans="1:10" ht="18" customHeight="1">
      <c r="A10" s="35"/>
      <c r="B10" s="123"/>
      <c r="C10" s="35"/>
      <c r="D10" s="35"/>
      <c r="E10" s="35"/>
      <c r="F10" s="35"/>
      <c r="G10" s="130">
        <f t="shared" si="0"/>
        <v>0</v>
      </c>
      <c r="H10" s="131"/>
      <c r="I10" s="132"/>
      <c r="J10" s="302">
        <v>0.1</v>
      </c>
    </row>
    <row r="11" spans="1:10" ht="15.75">
      <c r="A11" s="137"/>
      <c r="B11" s="140" t="s">
        <v>118</v>
      </c>
      <c r="C11" s="141"/>
      <c r="D11" s="141"/>
      <c r="E11" s="141"/>
      <c r="F11" s="141"/>
      <c r="G11" s="130">
        <f>SUM(G6:G10)</f>
        <v>0</v>
      </c>
      <c r="H11" s="136"/>
      <c r="I11" s="136">
        <f>H11+G11</f>
        <v>0</v>
      </c>
      <c r="J11" s="302">
        <v>0.1</v>
      </c>
    </row>
    <row r="12" spans="1:10" ht="18" customHeight="1">
      <c r="A12" s="142"/>
      <c r="B12" s="1030" t="s">
        <v>170</v>
      </c>
      <c r="C12" s="210"/>
      <c r="D12" s="210"/>
      <c r="E12" s="210"/>
      <c r="F12" s="210"/>
      <c r="G12" s="211">
        <f>ROUND(G11,-3)</f>
        <v>0</v>
      </c>
      <c r="H12" s="211">
        <f>ROUND(H11,-3)</f>
        <v>0</v>
      </c>
      <c r="I12" s="211">
        <f>ROUND(I11,-3)</f>
        <v>0</v>
      </c>
      <c r="J12" s="609"/>
    </row>
    <row r="13" spans="1:10" ht="15.75">
      <c r="A13" s="143"/>
      <c r="B13" s="144"/>
      <c r="C13" s="145"/>
      <c r="D13" s="145"/>
      <c r="E13" s="145"/>
      <c r="F13" s="145"/>
      <c r="G13" s="143"/>
      <c r="H13" s="146"/>
      <c r="I13" s="43"/>
    </row>
  </sheetData>
  <printOptions horizontalCentered="1"/>
  <pageMargins left="0.75" right="0.25" top="0.75" bottom="0.5" header="0.25" footer="0.25"/>
  <pageSetup paperSize="9" orientation="landscape" blackAndWhite="1" horizontalDpi="300" verticalDpi="300" r:id="rId1"/>
  <headerFooter>
    <oddHeader>&amp;L&amp;"+,nghiêng"&amp;10Dự toán GXD - www.giaxaydung.vn</oddHeader>
    <oddFooter>&amp;C&amp;P</oddFooter>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GTB">
    <tabColor rgb="FF00B050"/>
  </sheetPr>
  <dimension ref="A1:G65"/>
  <sheetViews>
    <sheetView showZeros="0" view="pageBreakPreview" zoomScale="85" zoomScaleNormal="85" zoomScaleSheetLayoutView="85" workbookViewId="0">
      <selection activeCell="D14" sqref="D14"/>
    </sheetView>
  </sheetViews>
  <sheetFormatPr defaultColWidth="9" defaultRowHeight="15.75"/>
  <cols>
    <col min="1" max="1" width="5.5703125" style="17" customWidth="1"/>
    <col min="2" max="2" width="45.5703125" style="17" customWidth="1"/>
    <col min="3" max="3" width="19" style="17" customWidth="1"/>
    <col min="4" max="4" width="26.85546875" style="17" customWidth="1"/>
    <col min="5" max="5" width="14.42578125" style="17" customWidth="1"/>
    <col min="6" max="6" width="9.5703125" style="17" customWidth="1"/>
    <col min="7" max="7" width="7.42578125" style="17" customWidth="1"/>
    <col min="8" max="16384" width="9" style="17"/>
  </cols>
  <sheetData>
    <row r="1" spans="1:7" ht="30" customHeight="1">
      <c r="A1" s="258" t="s">
        <v>171</v>
      </c>
      <c r="B1" s="256"/>
      <c r="C1" s="101"/>
      <c r="D1" s="101"/>
      <c r="E1" s="101"/>
    </row>
    <row r="2" spans="1:7"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6"/>
      <c r="C2" s="6"/>
      <c r="D2" s="6"/>
      <c r="E2" s="6"/>
      <c r="F2" s="179"/>
      <c r="G2" s="6"/>
    </row>
    <row r="3" spans="1:7" ht="22.15" customHeight="1">
      <c r="A3" s="1019" t="str">
        <f>'Bia-DTTB'!D43&amp;'Bia-DTTB'!E43</f>
        <v>HẠNG MỤC: MẪU NO-01-110-2-TCL</v>
      </c>
      <c r="B3" s="6"/>
      <c r="C3" s="6"/>
      <c r="D3" s="6"/>
      <c r="E3" s="6"/>
      <c r="F3" s="179"/>
      <c r="G3" s="6"/>
    </row>
    <row r="4" spans="1:7">
      <c r="E4" s="56" t="s">
        <v>310</v>
      </c>
      <c r="F4" s="56"/>
      <c r="G4" s="56"/>
    </row>
    <row r="5" spans="1:7" ht="18" customHeight="1">
      <c r="A5" s="210" t="s">
        <v>196</v>
      </c>
      <c r="B5" s="210" t="s">
        <v>92</v>
      </c>
      <c r="C5" s="210" t="s">
        <v>44</v>
      </c>
      <c r="D5" s="210" t="s">
        <v>93</v>
      </c>
      <c r="E5" s="210" t="s">
        <v>94</v>
      </c>
      <c r="F5" s="210" t="s">
        <v>178</v>
      </c>
      <c r="G5" s="210" t="s">
        <v>192</v>
      </c>
    </row>
    <row r="6" spans="1:7" ht="18" customHeight="1">
      <c r="A6" s="58"/>
      <c r="B6" s="542" t="s">
        <v>95</v>
      </c>
      <c r="C6" s="58"/>
      <c r="D6" s="59"/>
      <c r="E6" s="58"/>
      <c r="F6" s="58"/>
      <c r="G6" s="58"/>
    </row>
    <row r="7" spans="1:7" ht="16.899999999999999" customHeight="1">
      <c r="A7" s="50"/>
      <c r="B7" s="60" t="s">
        <v>96</v>
      </c>
      <c r="C7" s="50"/>
      <c r="D7" s="61">
        <f>'Du toan LD'!N30+'Du toan LD'!O30</f>
        <v>0</v>
      </c>
      <c r="E7" s="50" t="s">
        <v>97</v>
      </c>
      <c r="F7" s="50"/>
      <c r="G7" s="50"/>
    </row>
    <row r="8" spans="1:7" ht="16.899999999999999" customHeight="1">
      <c r="A8" s="50"/>
      <c r="B8" s="60" t="s">
        <v>98</v>
      </c>
      <c r="C8" s="50"/>
      <c r="D8" s="61"/>
      <c r="E8" s="50" t="s">
        <v>264</v>
      </c>
      <c r="F8" s="50"/>
      <c r="G8" s="50"/>
    </row>
    <row r="9" spans="1:7" ht="16.899999999999999" customHeight="1">
      <c r="A9" s="50"/>
      <c r="B9" s="60" t="s">
        <v>99</v>
      </c>
      <c r="C9" s="50"/>
      <c r="D9" s="61">
        <f>'Du toan LD'!P30</f>
        <v>0</v>
      </c>
      <c r="E9" s="50" t="s">
        <v>195</v>
      </c>
      <c r="F9" s="50"/>
      <c r="G9" s="50"/>
    </row>
    <row r="10" spans="1:7" ht="16.899999999999999" customHeight="1">
      <c r="A10" s="50"/>
      <c r="B10" s="60" t="s">
        <v>255</v>
      </c>
      <c r="C10" s="50"/>
      <c r="D10" s="61"/>
      <c r="E10" s="50" t="s">
        <v>256</v>
      </c>
      <c r="F10" s="50"/>
      <c r="G10" s="50"/>
    </row>
    <row r="11" spans="1:7" ht="16.899999999999999" customHeight="1">
      <c r="A11" s="50"/>
      <c r="B11" s="60" t="s">
        <v>100</v>
      </c>
      <c r="C11" s="50"/>
      <c r="D11" s="61">
        <f>'Du toan LD'!Q30</f>
        <v>0</v>
      </c>
      <c r="E11" s="50" t="s">
        <v>101</v>
      </c>
      <c r="F11" s="50"/>
      <c r="G11" s="50"/>
    </row>
    <row r="12" spans="1:7" s="64" customFormat="1" ht="16.899999999999999" customHeight="1">
      <c r="A12" s="50"/>
      <c r="B12" s="60" t="s">
        <v>102</v>
      </c>
      <c r="C12" s="50"/>
      <c r="D12" s="61"/>
      <c r="E12" s="50" t="s">
        <v>103</v>
      </c>
      <c r="F12" s="50"/>
      <c r="G12" s="50"/>
    </row>
    <row r="13" spans="1:7" ht="18" customHeight="1">
      <c r="A13" s="62" t="s">
        <v>73</v>
      </c>
      <c r="B13" s="543" t="s">
        <v>104</v>
      </c>
      <c r="C13" s="50"/>
      <c r="D13" s="61"/>
      <c r="E13" s="50"/>
      <c r="F13" s="50"/>
      <c r="G13" s="50"/>
    </row>
    <row r="14" spans="1:7" ht="16.899999999999999" customHeight="1">
      <c r="A14" s="156">
        <v>1</v>
      </c>
      <c r="B14" s="60" t="s">
        <v>96</v>
      </c>
      <c r="C14" s="50" t="str">
        <f>CPVLgld</f>
        <v>A*1</v>
      </c>
      <c r="D14" s="61">
        <f>IF(F14=0,D7+D8,(D7+D8)*F14)</f>
        <v>0</v>
      </c>
      <c r="E14" s="50" t="s">
        <v>105</v>
      </c>
      <c r="F14" s="50">
        <f>ROUND(Ts!$N$37,3)</f>
        <v>1</v>
      </c>
      <c r="G14" s="50"/>
    </row>
    <row r="15" spans="1:7" ht="16.899999999999999" customHeight="1">
      <c r="A15" s="156">
        <v>2</v>
      </c>
      <c r="B15" s="60" t="s">
        <v>99</v>
      </c>
      <c r="C15" s="50" t="str">
        <f>CPNCgld</f>
        <v>B*1</v>
      </c>
      <c r="D15" s="61">
        <f>PRODUCT(D9,F15:G15)+D10</f>
        <v>0</v>
      </c>
      <c r="E15" s="50" t="s">
        <v>106</v>
      </c>
      <c r="F15" s="50">
        <f>ROUND(Ts!$N$38,4)</f>
        <v>1</v>
      </c>
      <c r="G15" s="50"/>
    </row>
    <row r="16" spans="1:7" ht="16.899999999999999" customHeight="1">
      <c r="A16" s="156">
        <v>3</v>
      </c>
      <c r="B16" s="60" t="s">
        <v>107</v>
      </c>
      <c r="C16" s="50" t="str">
        <f>CPMTCgld</f>
        <v>C*1</v>
      </c>
      <c r="D16" s="61">
        <f>PRODUCT(D11,F16:G16)+D12</f>
        <v>0</v>
      </c>
      <c r="E16" s="50" t="s">
        <v>108</v>
      </c>
      <c r="F16" s="50">
        <f>ROUND(Ts!$N$39,4)</f>
        <v>1</v>
      </c>
      <c r="G16" s="50"/>
    </row>
    <row r="17" spans="1:7" s="64" customFormat="1" ht="19.149999999999999" customHeight="1">
      <c r="A17" s="156"/>
      <c r="B17" s="265" t="s">
        <v>109</v>
      </c>
      <c r="C17" s="50" t="s">
        <v>333</v>
      </c>
      <c r="D17" s="65">
        <f>SUM(D14:D16)</f>
        <v>0</v>
      </c>
      <c r="E17" s="50" t="s">
        <v>110</v>
      </c>
      <c r="F17" s="50"/>
      <c r="G17" s="50"/>
    </row>
    <row r="18" spans="1:7" s="64" customFormat="1" ht="19.149999999999999" customHeight="1">
      <c r="A18" s="62" t="s">
        <v>75</v>
      </c>
      <c r="B18" s="543" t="s">
        <v>706</v>
      </c>
      <c r="C18" s="50"/>
      <c r="D18" s="65"/>
      <c r="E18" s="50"/>
      <c r="F18" s="50"/>
      <c r="G18" s="50"/>
    </row>
    <row r="19" spans="1:7" s="64" customFormat="1" ht="19.149999999999999" customHeight="1">
      <c r="A19" s="636">
        <v>1</v>
      </c>
      <c r="B19" s="60" t="s">
        <v>378</v>
      </c>
      <c r="C19" s="50" t="str">
        <f ca="1">IF(G19&lt;&gt;1,"T*"&amp;F19*100&amp;"%"&amp;"*"&amp;G19,"T*"&amp;F19*100&amp;"%")</f>
        <v>T*6,2%</v>
      </c>
      <c r="D19" s="65">
        <f ca="1">D17*F19</f>
        <v>0</v>
      </c>
      <c r="E19" s="50" t="s">
        <v>101</v>
      </c>
      <c r="F19" s="319">
        <f ca="1">Ts!$O$40</f>
        <v>6.2E-2</v>
      </c>
      <c r="G19" s="50">
        <v>1</v>
      </c>
    </row>
    <row r="20" spans="1:7" s="64" customFormat="1" ht="19.149999999999999" customHeight="1">
      <c r="A20" s="636">
        <v>2</v>
      </c>
      <c r="B20" s="60" t="s">
        <v>702</v>
      </c>
      <c r="C20" s="50" t="str">
        <f>IF(G20&lt;&gt;1,"T*"&amp;F20*100&amp;"%"&amp;"*"&amp;G20,"T*"&amp;F20*100&amp;"%")</f>
        <v>T*1,1%</v>
      </c>
      <c r="D20" s="65">
        <f>D17*F20</f>
        <v>0</v>
      </c>
      <c r="E20" s="50" t="s">
        <v>704</v>
      </c>
      <c r="F20" s="319">
        <f>Ts!$O$44</f>
        <v>1.1000000000000001E-2</v>
      </c>
      <c r="G20" s="50">
        <v>1</v>
      </c>
    </row>
    <row r="21" spans="1:7" s="64" customFormat="1" ht="36" customHeight="1">
      <c r="A21" s="636">
        <v>3</v>
      </c>
      <c r="B21" s="60" t="s">
        <v>703</v>
      </c>
      <c r="C21" s="50" t="str">
        <f ca="1">"T*"&amp;F21*100&amp;"%"</f>
        <v>T*2%</v>
      </c>
      <c r="D21" s="65">
        <f ca="1">D17*F21</f>
        <v>0</v>
      </c>
      <c r="E21" s="50" t="s">
        <v>33</v>
      </c>
      <c r="F21" s="319">
        <f ca="1">Ts!$O$43</f>
        <v>0.02</v>
      </c>
      <c r="G21" s="50"/>
    </row>
    <row r="22" spans="1:7" s="64" customFormat="1" ht="19.149999999999999" customHeight="1">
      <c r="A22" s="62"/>
      <c r="B22" s="1088" t="s">
        <v>701</v>
      </c>
      <c r="C22" s="50" t="s">
        <v>931</v>
      </c>
      <c r="D22" s="65">
        <f ca="1">SUM(D19:D21)</f>
        <v>0</v>
      </c>
      <c r="E22" s="50" t="s">
        <v>78</v>
      </c>
      <c r="F22" s="50"/>
      <c r="G22" s="50"/>
    </row>
    <row r="23" spans="1:7" ht="18" customHeight="1">
      <c r="A23" s="62" t="s">
        <v>77</v>
      </c>
      <c r="B23" s="543" t="s">
        <v>112</v>
      </c>
      <c r="C23" s="50" t="str">
        <f ca="1">"(T+GT)*"&amp;F23*100&amp;"%"</f>
        <v>(T+GT)*6%</v>
      </c>
      <c r="D23" s="65">
        <f ca="1">(D17+D22)*F23</f>
        <v>0</v>
      </c>
      <c r="E23" s="50" t="s">
        <v>79</v>
      </c>
      <c r="F23" s="319">
        <f ca="1">Ts!$O$41</f>
        <v>0.06</v>
      </c>
      <c r="G23" s="50"/>
    </row>
    <row r="24" spans="1:7" s="64" customFormat="1" ht="19.149999999999999" customHeight="1">
      <c r="A24" s="63"/>
      <c r="B24" s="265" t="s">
        <v>172</v>
      </c>
      <c r="C24" s="50" t="s">
        <v>705</v>
      </c>
      <c r="D24" s="66">
        <f ca="1">D17+D22+D23</f>
        <v>0</v>
      </c>
      <c r="E24" s="50" t="s">
        <v>114</v>
      </c>
      <c r="F24" s="50"/>
      <c r="G24" s="50"/>
    </row>
    <row r="25" spans="1:7" s="64" customFormat="1" ht="18" customHeight="1">
      <c r="A25" s="62" t="s">
        <v>80</v>
      </c>
      <c r="B25" s="584" t="s">
        <v>115</v>
      </c>
      <c r="C25" s="50" t="str">
        <f>"G*"&amp;F25*100&amp;"%"</f>
        <v>G*10%</v>
      </c>
      <c r="D25" s="65">
        <f ca="1">D24*F25</f>
        <v>0</v>
      </c>
      <c r="E25" s="50" t="s">
        <v>116</v>
      </c>
      <c r="F25" s="320">
        <f>Ts!$O$42</f>
        <v>0.1</v>
      </c>
      <c r="G25" s="50"/>
    </row>
    <row r="26" spans="1:7" s="64" customFormat="1" ht="18.75">
      <c r="A26" s="587"/>
      <c r="B26" s="587" t="s">
        <v>173</v>
      </c>
      <c r="C26" s="200" t="s">
        <v>596</v>
      </c>
      <c r="D26" s="598">
        <f ca="1">D24+D25</f>
        <v>0</v>
      </c>
      <c r="E26" s="200" t="s">
        <v>76</v>
      </c>
      <c r="F26" s="200"/>
      <c r="G26" s="200"/>
    </row>
    <row r="27" spans="1:7" s="64" customFormat="1" ht="18.75">
      <c r="A27" s="583"/>
      <c r="B27" s="585" t="s">
        <v>168</v>
      </c>
      <c r="C27" s="50" t="str">
        <f ca="1">"GLD*"&amp;F27*100&amp;"%"</f>
        <v>GLD*0%</v>
      </c>
      <c r="D27" s="538">
        <f ca="1">D26*F27</f>
        <v>0</v>
      </c>
      <c r="E27" s="539" t="s">
        <v>334</v>
      </c>
      <c r="F27" s="540">
        <f ca="1">IF(CF_TDGDD&lt;&gt;0,0,'CP Du phong'!$D$211)</f>
        <v>0</v>
      </c>
      <c r="G27" s="541"/>
    </row>
    <row r="28" spans="1:7" s="67" customFormat="1" ht="18.75">
      <c r="A28" s="569"/>
      <c r="B28" s="569" t="s">
        <v>595</v>
      </c>
      <c r="C28" s="570" t="s">
        <v>597</v>
      </c>
      <c r="D28" s="571">
        <f ca="1">D26+D27</f>
        <v>0</v>
      </c>
      <c r="E28" s="572" t="s">
        <v>381</v>
      </c>
      <c r="F28" s="570"/>
      <c r="G28" s="570"/>
    </row>
    <row r="30" spans="1:7" customFormat="1" ht="20.100000000000001" customHeight="1">
      <c r="A30" s="68"/>
      <c r="B30" s="213"/>
      <c r="C30" s="213"/>
      <c r="D30" s="213"/>
      <c r="E30" s="213"/>
      <c r="F30" s="301"/>
      <c r="G30" s="122"/>
    </row>
    <row r="31" spans="1:7" customFormat="1" ht="18" customHeight="1">
      <c r="A31" s="43"/>
      <c r="B31" s="44" t="s">
        <v>51</v>
      </c>
      <c r="C31" s="46" t="s">
        <v>52</v>
      </c>
      <c r="D31" s="101"/>
      <c r="E31" s="147"/>
      <c r="F31" s="147"/>
      <c r="G31" s="147"/>
    </row>
    <row r="32" spans="1:7" ht="14.45" customHeight="1">
      <c r="A32" s="43"/>
      <c r="B32" s="44"/>
      <c r="C32" s="46"/>
      <c r="D32" s="101"/>
      <c r="E32" s="147"/>
      <c r="F32" s="147"/>
      <c r="G32" s="147"/>
    </row>
    <row r="33" spans="1:7" ht="13.9" customHeight="1">
      <c r="A33" s="43"/>
      <c r="B33" s="44"/>
      <c r="C33" s="46"/>
      <c r="D33" s="101"/>
      <c r="E33" s="147"/>
      <c r="F33" s="147"/>
      <c r="G33" s="147"/>
    </row>
    <row r="34" spans="1:7" ht="18" customHeight="1">
      <c r="C34" s="46"/>
      <c r="F34" s="147"/>
    </row>
    <row r="35" spans="1:7">
      <c r="C35" s="75" t="s">
        <v>335</v>
      </c>
      <c r="D35" s="101"/>
      <c r="E35" s="101"/>
      <c r="F35" s="147"/>
      <c r="G35" s="101"/>
    </row>
    <row r="37" spans="1:7" ht="22.5">
      <c r="A37" s="258" t="s">
        <v>171</v>
      </c>
      <c r="B37" s="256"/>
      <c r="C37" s="101"/>
      <c r="D37" s="101"/>
      <c r="E37" s="101"/>
      <c r="F37" s="236" t="s">
        <v>932</v>
      </c>
    </row>
    <row r="38" spans="1:7" ht="18.75">
      <c r="A38"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38" s="6"/>
      <c r="C38" s="6"/>
      <c r="D38" s="6"/>
      <c r="E38" s="6"/>
      <c r="F38" s="179"/>
      <c r="G38" s="6"/>
    </row>
    <row r="39" spans="1:7" ht="18.75">
      <c r="A39" s="1019" t="str">
        <f>'Bia-DTTB'!D43&amp;'Bia-DTTB'!E43</f>
        <v>HẠNG MỤC: MẪU NO-01-110-2-TCL</v>
      </c>
      <c r="B39" s="6"/>
      <c r="C39" s="6"/>
      <c r="D39" s="6"/>
      <c r="E39" s="6"/>
      <c r="F39" s="179"/>
      <c r="G39" s="6"/>
    </row>
    <row r="40" spans="1:7">
      <c r="E40" s="56" t="s">
        <v>310</v>
      </c>
      <c r="F40" s="56"/>
      <c r="G40" s="56"/>
    </row>
    <row r="41" spans="1:7">
      <c r="A41" s="210" t="s">
        <v>196</v>
      </c>
      <c r="B41" s="210" t="s">
        <v>92</v>
      </c>
      <c r="C41" s="210" t="s">
        <v>44</v>
      </c>
      <c r="D41" s="210" t="s">
        <v>93</v>
      </c>
      <c r="E41" s="210" t="s">
        <v>94</v>
      </c>
      <c r="F41" s="56"/>
      <c r="G41" s="56"/>
    </row>
    <row r="42" spans="1:7">
      <c r="A42" s="62" t="s">
        <v>73</v>
      </c>
      <c r="B42" s="543" t="s">
        <v>104</v>
      </c>
      <c r="C42" s="50"/>
      <c r="D42" s="61"/>
      <c r="E42" s="50"/>
      <c r="F42" s="56"/>
      <c r="G42" s="56"/>
    </row>
    <row r="43" spans="1:7">
      <c r="A43" s="156">
        <v>1</v>
      </c>
      <c r="B43" s="60" t="s">
        <v>96</v>
      </c>
      <c r="C43" s="50"/>
      <c r="D43" s="61">
        <f>D14</f>
        <v>0</v>
      </c>
      <c r="E43" s="50" t="s">
        <v>105</v>
      </c>
      <c r="F43" s="56"/>
      <c r="G43" s="56"/>
    </row>
    <row r="44" spans="1:7">
      <c r="A44" s="156">
        <v>2</v>
      </c>
      <c r="B44" s="60" t="s">
        <v>99</v>
      </c>
      <c r="C44" s="50"/>
      <c r="D44" s="61">
        <f t="shared" ref="D44:D45" si="0">D15</f>
        <v>0</v>
      </c>
      <c r="E44" s="50" t="s">
        <v>106</v>
      </c>
      <c r="F44" s="56"/>
      <c r="G44" s="56"/>
    </row>
    <row r="45" spans="1:7">
      <c r="A45" s="156">
        <v>3</v>
      </c>
      <c r="B45" s="60" t="s">
        <v>107</v>
      </c>
      <c r="C45" s="50"/>
      <c r="D45" s="61">
        <f t="shared" si="0"/>
        <v>0</v>
      </c>
      <c r="E45" s="50" t="s">
        <v>108</v>
      </c>
      <c r="F45" s="56"/>
      <c r="G45" s="56"/>
    </row>
    <row r="46" spans="1:7" ht="16.5">
      <c r="A46" s="156"/>
      <c r="B46" s="265" t="s">
        <v>109</v>
      </c>
      <c r="C46" s="50" t="s">
        <v>333</v>
      </c>
      <c r="D46" s="65"/>
      <c r="E46" s="50" t="s">
        <v>110</v>
      </c>
      <c r="F46" s="56"/>
      <c r="G46" s="56"/>
    </row>
    <row r="47" spans="1:7">
      <c r="A47" s="62" t="s">
        <v>75</v>
      </c>
      <c r="B47" s="543" t="s">
        <v>706</v>
      </c>
      <c r="C47" s="50"/>
      <c r="D47" s="65"/>
      <c r="E47" s="50"/>
      <c r="F47" s="56"/>
      <c r="G47" s="56"/>
    </row>
    <row r="48" spans="1:7">
      <c r="A48" s="636">
        <v>1</v>
      </c>
      <c r="B48" s="60" t="s">
        <v>378</v>
      </c>
      <c r="C48" s="50" t="str">
        <f ca="1">"T*"&amp;F19*100&amp;"%"&amp;IF(G19&lt;&gt;1,"*"&amp;G19,)</f>
        <v>T*6,2%</v>
      </c>
      <c r="D48" s="65"/>
      <c r="E48" s="50" t="s">
        <v>101</v>
      </c>
      <c r="F48" s="56"/>
      <c r="G48" s="56"/>
    </row>
    <row r="49" spans="1:7">
      <c r="A49" s="636">
        <v>2</v>
      </c>
      <c r="B49" s="60" t="s">
        <v>702</v>
      </c>
      <c r="C49" s="50" t="str">
        <f>"T*"&amp;F20*100&amp;"%"&amp;IF(G20&lt;&gt;1,"*"&amp;G20,)</f>
        <v>T*1,1%</v>
      </c>
      <c r="D49" s="65"/>
      <c r="E49" s="50" t="s">
        <v>704</v>
      </c>
      <c r="F49" s="56"/>
      <c r="G49" s="56"/>
    </row>
    <row r="50" spans="1:7" ht="31.5">
      <c r="A50" s="636">
        <v>3</v>
      </c>
      <c r="B50" s="60" t="s">
        <v>703</v>
      </c>
      <c r="C50" s="50" t="str">
        <f ca="1">"T*"&amp;F21*100&amp;"%"</f>
        <v>T*2%</v>
      </c>
      <c r="D50" s="65"/>
      <c r="E50" s="50" t="s">
        <v>33</v>
      </c>
      <c r="F50" s="56"/>
      <c r="G50" s="56"/>
    </row>
    <row r="51" spans="1:7" ht="18.75">
      <c r="A51" s="62"/>
      <c r="B51" s="1088" t="s">
        <v>701</v>
      </c>
      <c r="C51" s="50" t="s">
        <v>707</v>
      </c>
      <c r="D51" s="65"/>
      <c r="E51" s="50" t="s">
        <v>78</v>
      </c>
      <c r="F51" s="56"/>
      <c r="G51" s="56"/>
    </row>
    <row r="52" spans="1:7">
      <c r="A52" s="62" t="s">
        <v>77</v>
      </c>
      <c r="B52" s="543" t="s">
        <v>112</v>
      </c>
      <c r="C52" s="50" t="str">
        <f ca="1">"(T+GT)*"&amp;F23*100&amp;"%"</f>
        <v>(T+GT)*6%</v>
      </c>
      <c r="D52" s="65"/>
      <c r="E52" s="50" t="s">
        <v>79</v>
      </c>
      <c r="F52" s="56"/>
      <c r="G52" s="56"/>
    </row>
    <row r="53" spans="1:7" ht="16.5">
      <c r="A53" s="63"/>
      <c r="B53" s="265" t="s">
        <v>172</v>
      </c>
      <c r="C53" s="50" t="s">
        <v>705</v>
      </c>
      <c r="D53" s="66"/>
      <c r="E53" s="50" t="s">
        <v>114</v>
      </c>
      <c r="F53" s="56"/>
      <c r="G53" s="56"/>
    </row>
    <row r="54" spans="1:7">
      <c r="A54" s="62" t="s">
        <v>80</v>
      </c>
      <c r="B54" s="584" t="s">
        <v>115</v>
      </c>
      <c r="C54" s="50" t="str">
        <f>"G*"&amp;F25*100&amp;"%"</f>
        <v>G*10%</v>
      </c>
      <c r="D54" s="65"/>
      <c r="E54" s="50" t="s">
        <v>116</v>
      </c>
      <c r="F54" s="56"/>
      <c r="G54" s="56"/>
    </row>
    <row r="55" spans="1:7" ht="18.75">
      <c r="A55" s="587"/>
      <c r="B55" s="587" t="s">
        <v>173</v>
      </c>
      <c r="C55" s="200" t="s">
        <v>596</v>
      </c>
      <c r="D55" s="598"/>
      <c r="E55" s="200" t="s">
        <v>76</v>
      </c>
      <c r="F55" s="56"/>
      <c r="G55" s="56"/>
    </row>
    <row r="56" spans="1:7" ht="18.75">
      <c r="A56" s="583"/>
      <c r="B56" s="585" t="s">
        <v>168</v>
      </c>
      <c r="C56" s="50" t="str">
        <f ca="1">"GLD*"&amp;F27*100&amp;"%"</f>
        <v>GLD*0%</v>
      </c>
      <c r="D56" s="538"/>
      <c r="E56" s="539" t="s">
        <v>334</v>
      </c>
      <c r="F56" s="56"/>
      <c r="G56" s="56"/>
    </row>
    <row r="57" spans="1:7" ht="18.75">
      <c r="A57" s="569"/>
      <c r="B57" s="569" t="s">
        <v>595</v>
      </c>
      <c r="C57" s="570" t="s">
        <v>597</v>
      </c>
      <c r="D57" s="571"/>
      <c r="E57" s="572" t="s">
        <v>381</v>
      </c>
      <c r="F57" s="56"/>
      <c r="G57" s="56"/>
    </row>
    <row r="58" spans="1:7">
      <c r="F58" s="56"/>
      <c r="G58" s="56"/>
    </row>
    <row r="59" spans="1:7">
      <c r="A59" s="68"/>
      <c r="B59" s="213"/>
      <c r="C59" s="213"/>
      <c r="D59" s="213"/>
      <c r="E59" s="213"/>
      <c r="F59" s="56"/>
      <c r="G59" s="56"/>
    </row>
    <row r="60" spans="1:7">
      <c r="A60" s="43"/>
      <c r="B60" s="44" t="s">
        <v>51</v>
      </c>
      <c r="C60" s="46" t="s">
        <v>52</v>
      </c>
      <c r="D60" s="101"/>
      <c r="E60" s="147"/>
      <c r="F60" s="56"/>
      <c r="G60" s="56"/>
    </row>
    <row r="61" spans="1:7">
      <c r="A61" s="43"/>
      <c r="B61" s="44"/>
      <c r="C61" s="46"/>
      <c r="D61" s="101"/>
      <c r="E61" s="147"/>
      <c r="F61" s="56"/>
      <c r="G61" s="56"/>
    </row>
    <row r="62" spans="1:7">
      <c r="A62" s="43"/>
      <c r="B62" s="44"/>
      <c r="C62" s="46"/>
      <c r="D62" s="101"/>
      <c r="E62" s="147"/>
      <c r="F62" s="147"/>
      <c r="G62" s="147"/>
    </row>
    <row r="63" spans="1:7">
      <c r="C63" s="46"/>
      <c r="F63" s="147"/>
    </row>
    <row r="64" spans="1:7">
      <c r="C64" s="75" t="s">
        <v>335</v>
      </c>
      <c r="D64" s="101"/>
      <c r="E64" s="101"/>
      <c r="F64" s="147"/>
      <c r="G64" s="101"/>
    </row>
    <row r="65" spans="1:1">
      <c r="A65" s="17" t="s">
        <v>933</v>
      </c>
    </row>
  </sheetData>
  <phoneticPr fontId="60" type="noConversion"/>
  <printOptions horizontalCentered="1"/>
  <pageMargins left="0.75" right="0.25" top="0.5" bottom="0.5" header="0.25" footer="0.23622047244094499"/>
  <pageSetup paperSize="9" orientation="landscape" blackAndWhite="1" horizontalDpi="300" verticalDpi="300" r:id="rId1"/>
  <headerFooter>
    <oddFooter>&amp;C&amp;P</oddFooter>
  </headerFooter>
  <rowBreaks count="1" manualBreakCount="1">
    <brk id="26" max="4" man="1"/>
  </rowBreaks>
  <ignoredErrors>
    <ignoredError sqref="A2:A3 A38:A39" unlockedFormula="1"/>
    <ignoredError sqref="D26" formula="1"/>
  </ignoredErrors>
  <legacyDrawing r:id="rId2"/>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TB">
    <tabColor rgb="FF00B050"/>
  </sheetPr>
  <dimension ref="A1:AA31"/>
  <sheetViews>
    <sheetView showZeros="0" topLeftCell="B1" workbookViewId="0">
      <selection activeCell="B7" sqref="B7"/>
    </sheetView>
  </sheetViews>
  <sheetFormatPr defaultColWidth="9" defaultRowHeight="15.75"/>
  <cols>
    <col min="1" max="1" width="3.85546875" style="79" hidden="1" customWidth="1"/>
    <col min="2" max="2" width="4.85546875" style="79" customWidth="1"/>
    <col min="3" max="3" width="7.85546875" style="83" hidden="1" customWidth="1"/>
    <col min="4" max="4" width="12.5703125" style="83" hidden="1" customWidth="1"/>
    <col min="5" max="5" width="10.5703125" style="83" customWidth="1"/>
    <col min="6" max="6" width="29.5703125" style="83" customWidth="1"/>
    <col min="7" max="7" width="6.5703125" style="84" customWidth="1"/>
    <col min="8" max="8" width="9.42578125" style="79" customWidth="1"/>
    <col min="9" max="9" width="12.5703125" style="529" customWidth="1"/>
    <col min="10" max="10" width="10" style="529" hidden="1" customWidth="1"/>
    <col min="11" max="12" width="12.5703125" style="529" customWidth="1"/>
    <col min="13" max="13" width="12.5703125" style="529" hidden="1" customWidth="1"/>
    <col min="14" max="14" width="13.5703125" style="529" customWidth="1"/>
    <col min="15" max="15" width="11.42578125" style="529" hidden="1" customWidth="1"/>
    <col min="16" max="16" width="12.5703125" style="529" customWidth="1"/>
    <col min="17" max="17" width="13.5703125" style="529" customWidth="1"/>
    <col min="18" max="18" width="13.5703125" style="529" hidden="1" customWidth="1"/>
    <col min="19" max="19" width="10.42578125" style="79" hidden="1" customWidth="1"/>
    <col min="20" max="23" width="9" style="85" hidden="1" customWidth="1"/>
    <col min="24" max="25" width="11" style="85" hidden="1" customWidth="1"/>
    <col min="26" max="26" width="12" style="79" hidden="1" customWidth="1"/>
    <col min="27" max="27" width="9" style="79" customWidth="1"/>
    <col min="28" max="28" width="5.140625" style="79" customWidth="1"/>
    <col min="29" max="30" width="9" style="79"/>
    <col min="31" max="31" width="10.5703125" style="79" customWidth="1"/>
    <col min="32" max="32" width="29.5703125" style="79" customWidth="1"/>
    <col min="33" max="33" width="9" style="79"/>
    <col min="34" max="34" width="10.5703125" style="79" customWidth="1"/>
    <col min="35" max="38" width="10.42578125" style="79" customWidth="1"/>
    <col min="39" max="43" width="12.85546875" style="79" customWidth="1"/>
    <col min="44" max="44" width="30.5703125" style="79" customWidth="1"/>
    <col min="45" max="46" width="4.5703125" style="79" customWidth="1"/>
    <col min="47" max="49" width="12" style="79" customWidth="1"/>
    <col min="50" max="50" width="29.5703125" style="79" customWidth="1"/>
    <col min="51" max="51" width="7.5703125" style="79" customWidth="1"/>
    <col min="52" max="52" width="9" style="79"/>
    <col min="53" max="61" width="12.5703125" style="79" customWidth="1"/>
    <col min="62" max="16384" width="9" style="79"/>
  </cols>
  <sheetData>
    <row r="1" spans="1:27" ht="26.1" customHeight="1">
      <c r="A1" s="2"/>
      <c r="B1" s="257" t="s">
        <v>174</v>
      </c>
      <c r="C1" s="76"/>
      <c r="D1" s="76"/>
      <c r="E1" s="76"/>
      <c r="F1" s="76"/>
      <c r="G1" s="77"/>
      <c r="H1" s="642"/>
      <c r="I1" s="527"/>
      <c r="J1" s="527"/>
      <c r="K1" s="527"/>
      <c r="L1" s="527"/>
      <c r="M1" s="527"/>
      <c r="N1" s="527"/>
      <c r="O1" s="527"/>
      <c r="P1" s="527"/>
      <c r="Q1" s="527"/>
      <c r="R1" s="527"/>
      <c r="S1" s="78"/>
      <c r="T1" s="78"/>
      <c r="U1" s="78"/>
      <c r="V1" s="78"/>
      <c r="W1" s="78"/>
      <c r="X1" s="78"/>
      <c r="Y1" s="78"/>
      <c r="Z1" s="78"/>
      <c r="AA1" s="646" t="s">
        <v>585</v>
      </c>
    </row>
    <row r="2" spans="1:27" ht="22.15" customHeight="1">
      <c r="A2" s="3"/>
      <c r="B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80"/>
      <c r="D2" s="80"/>
      <c r="E2" s="80"/>
      <c r="F2" s="80"/>
      <c r="G2" s="81"/>
      <c r="H2" s="643"/>
      <c r="I2" s="528"/>
      <c r="J2" s="528"/>
      <c r="K2" s="528"/>
      <c r="L2" s="528"/>
      <c r="M2" s="528"/>
      <c r="N2" s="528"/>
      <c r="O2" s="528"/>
      <c r="P2" s="528"/>
      <c r="Q2" s="528"/>
      <c r="R2" s="528"/>
      <c r="S2" s="873"/>
      <c r="T2" s="78"/>
      <c r="U2" s="78"/>
      <c r="V2" s="78"/>
      <c r="W2" s="78"/>
      <c r="X2" s="78"/>
      <c r="Y2" s="78"/>
      <c r="Z2" s="78"/>
    </row>
    <row r="3" spans="1:27" ht="22.15" customHeight="1">
      <c r="A3" s="3"/>
      <c r="B3" s="1019" t="str">
        <f>'Bia-DTTB'!D43&amp;'Bia-DTTB'!E43</f>
        <v>HẠNG MỤC: MẪU NO-01-110-2-TCL</v>
      </c>
      <c r="C3" s="80"/>
      <c r="D3" s="80"/>
      <c r="E3" s="80"/>
      <c r="F3" s="80"/>
      <c r="G3" s="81"/>
      <c r="H3" s="643"/>
      <c r="I3" s="528"/>
      <c r="J3" s="528"/>
      <c r="K3" s="528"/>
      <c r="L3" s="528"/>
      <c r="M3" s="528"/>
      <c r="N3" s="528"/>
      <c r="O3" s="528"/>
      <c r="P3" s="528"/>
      <c r="Q3" s="528"/>
      <c r="R3" s="528"/>
      <c r="S3" s="873"/>
      <c r="T3" s="78"/>
      <c r="U3" s="78"/>
      <c r="V3" s="78"/>
      <c r="W3" s="78"/>
      <c r="X3" s="78"/>
      <c r="Y3" s="78"/>
      <c r="Z3" s="78"/>
    </row>
    <row r="4" spans="1:27" ht="15" customHeight="1">
      <c r="A4" s="82"/>
      <c r="B4" s="82"/>
      <c r="Q4" s="162" t="s">
        <v>310</v>
      </c>
      <c r="R4" s="162"/>
      <c r="T4" s="79"/>
      <c r="U4" s="79"/>
      <c r="V4" s="79"/>
      <c r="W4" s="79"/>
      <c r="X4" s="79"/>
      <c r="Y4" s="79"/>
    </row>
    <row r="5" spans="1:27" ht="16.5" customHeight="1">
      <c r="A5" s="2631" t="s">
        <v>390</v>
      </c>
      <c r="B5" s="2629" t="s">
        <v>196</v>
      </c>
      <c r="C5" s="2629" t="s">
        <v>145</v>
      </c>
      <c r="D5" s="2629" t="s">
        <v>187</v>
      </c>
      <c r="E5" s="2627" t="s">
        <v>308</v>
      </c>
      <c r="F5" s="2627" t="s">
        <v>121</v>
      </c>
      <c r="G5" s="2629" t="s">
        <v>122</v>
      </c>
      <c r="H5" s="2629" t="s">
        <v>136</v>
      </c>
      <c r="I5" s="1037" t="s">
        <v>123</v>
      </c>
      <c r="J5" s="1037"/>
      <c r="K5" s="1037"/>
      <c r="L5" s="1037"/>
      <c r="M5" s="2633" t="s">
        <v>123</v>
      </c>
      <c r="N5" s="1037" t="s">
        <v>124</v>
      </c>
      <c r="O5" s="1037"/>
      <c r="P5" s="1037"/>
      <c r="Q5" s="1037"/>
      <c r="R5" s="2633" t="s">
        <v>124</v>
      </c>
      <c r="S5" s="2629" t="s">
        <v>125</v>
      </c>
      <c r="T5" s="1038" t="s">
        <v>126</v>
      </c>
      <c r="U5" s="1038"/>
      <c r="V5" s="1038"/>
      <c r="W5" s="2627" t="s">
        <v>127</v>
      </c>
      <c r="X5" s="2627" t="s">
        <v>128</v>
      </c>
      <c r="Y5" s="2627" t="s">
        <v>175</v>
      </c>
      <c r="Z5" s="2627" t="s">
        <v>130</v>
      </c>
    </row>
    <row r="6" spans="1:27" ht="16.5" customHeight="1">
      <c r="A6" s="2632"/>
      <c r="B6" s="2630"/>
      <c r="C6" s="2630"/>
      <c r="D6" s="2630"/>
      <c r="E6" s="2628"/>
      <c r="F6" s="2628"/>
      <c r="G6" s="2630"/>
      <c r="H6" s="2630"/>
      <c r="I6" s="1054" t="s">
        <v>224</v>
      </c>
      <c r="J6" s="1054" t="s">
        <v>229</v>
      </c>
      <c r="K6" s="1054" t="s">
        <v>225</v>
      </c>
      <c r="L6" s="1054" t="s">
        <v>401</v>
      </c>
      <c r="M6" s="2634"/>
      <c r="N6" s="1054" t="s">
        <v>224</v>
      </c>
      <c r="O6" s="1054" t="s">
        <v>229</v>
      </c>
      <c r="P6" s="1054" t="s">
        <v>225</v>
      </c>
      <c r="Q6" s="1055" t="s">
        <v>401</v>
      </c>
      <c r="R6" s="2635"/>
      <c r="S6" s="2630"/>
      <c r="T6" s="1039" t="s">
        <v>132</v>
      </c>
      <c r="U6" s="1039" t="s">
        <v>133</v>
      </c>
      <c r="V6" s="1039" t="s">
        <v>176</v>
      </c>
      <c r="W6" s="2628"/>
      <c r="X6" s="2628"/>
      <c r="Y6" s="2628"/>
      <c r="Z6" s="2628"/>
    </row>
    <row r="7" spans="1:27" s="433" customFormat="1" ht="16.5" customHeight="1">
      <c r="A7" s="436" t="s">
        <v>273</v>
      </c>
      <c r="B7" s="436" t="s">
        <v>273</v>
      </c>
      <c r="C7" s="436" t="s">
        <v>274</v>
      </c>
      <c r="D7" s="436" t="s">
        <v>275</v>
      </c>
      <c r="E7" s="437" t="s">
        <v>276</v>
      </c>
      <c r="F7" s="437" t="s">
        <v>277</v>
      </c>
      <c r="G7" s="438" t="s">
        <v>278</v>
      </c>
      <c r="H7" s="436" t="s">
        <v>279</v>
      </c>
      <c r="I7" s="530" t="s">
        <v>280</v>
      </c>
      <c r="J7" s="530" t="s">
        <v>281</v>
      </c>
      <c r="K7" s="530" t="s">
        <v>282</v>
      </c>
      <c r="L7" s="530" t="s">
        <v>283</v>
      </c>
      <c r="M7" s="530" t="s">
        <v>280</v>
      </c>
      <c r="N7" s="530" t="s">
        <v>284</v>
      </c>
      <c r="O7" s="530" t="s">
        <v>285</v>
      </c>
      <c r="P7" s="530" t="s">
        <v>286</v>
      </c>
      <c r="Q7" s="530" t="s">
        <v>287</v>
      </c>
      <c r="R7" s="530" t="s">
        <v>303</v>
      </c>
      <c r="S7" s="436" t="s">
        <v>279</v>
      </c>
      <c r="T7" s="439" t="s">
        <v>280</v>
      </c>
      <c r="U7" s="439" t="s">
        <v>281</v>
      </c>
      <c r="V7" s="439" t="s">
        <v>282</v>
      </c>
      <c r="W7" s="439" t="s">
        <v>283</v>
      </c>
      <c r="X7" s="439" t="s">
        <v>288</v>
      </c>
      <c r="Y7" s="439" t="s">
        <v>292</v>
      </c>
      <c r="Z7" s="439" t="s">
        <v>293</v>
      </c>
      <c r="AA7" s="434"/>
    </row>
    <row r="8" spans="1:27" ht="15.75" hidden="1" customHeight="1">
      <c r="A8" s="148"/>
      <c r="B8" s="148"/>
      <c r="C8" s="149"/>
      <c r="D8" s="149"/>
      <c r="E8" s="803"/>
      <c r="F8" s="1011"/>
      <c r="G8" s="150"/>
      <c r="H8" s="908"/>
      <c r="I8" s="531"/>
      <c r="J8" s="531"/>
      <c r="K8" s="531"/>
      <c r="L8" s="531"/>
      <c r="M8" s="531"/>
      <c r="N8" s="531"/>
      <c r="O8" s="531"/>
      <c r="P8" s="531"/>
      <c r="Q8" s="531"/>
      <c r="R8" s="531"/>
      <c r="S8" s="89"/>
      <c r="T8" s="88"/>
      <c r="U8" s="88"/>
      <c r="V8" s="88"/>
      <c r="W8" s="88"/>
      <c r="X8" s="88"/>
      <c r="Y8" s="88"/>
      <c r="Z8" s="89"/>
    </row>
    <row r="9" spans="1:27">
      <c r="A9" s="148"/>
      <c r="B9" s="148"/>
      <c r="C9" s="149"/>
      <c r="D9" s="804"/>
      <c r="E9" s="803"/>
      <c r="F9" s="1011"/>
      <c r="G9" s="150"/>
      <c r="H9" s="89"/>
      <c r="I9" s="531"/>
      <c r="J9" s="531"/>
      <c r="K9" s="531"/>
      <c r="L9" s="531"/>
      <c r="M9" s="531"/>
      <c r="N9" s="531"/>
      <c r="O9" s="531"/>
      <c r="P9" s="531"/>
      <c r="Q9" s="531"/>
      <c r="R9" s="531"/>
      <c r="S9" s="89"/>
      <c r="T9" s="88"/>
      <c r="U9" s="88"/>
      <c r="V9" s="88"/>
      <c r="W9" s="88"/>
      <c r="X9" s="88"/>
      <c r="Y9" s="88"/>
      <c r="Z9" s="89"/>
    </row>
    <row r="10" spans="1:27">
      <c r="A10" s="148"/>
      <c r="B10" s="148"/>
      <c r="C10" s="149"/>
      <c r="D10" s="804"/>
      <c r="E10" s="803"/>
      <c r="F10" s="1012"/>
      <c r="G10" s="150"/>
      <c r="H10" s="644"/>
      <c r="I10" s="531"/>
      <c r="J10" s="531"/>
      <c r="K10" s="531"/>
      <c r="L10" s="531"/>
      <c r="M10" s="531"/>
      <c r="N10" s="531"/>
      <c r="O10" s="531"/>
      <c r="P10" s="531"/>
      <c r="Q10" s="531"/>
      <c r="R10" s="531"/>
      <c r="S10" s="89"/>
      <c r="T10" s="88"/>
      <c r="U10" s="88"/>
      <c r="V10" s="88"/>
      <c r="W10" s="88"/>
      <c r="X10" s="88"/>
      <c r="Y10" s="88"/>
      <c r="Z10" s="89"/>
    </row>
    <row r="11" spans="1:27">
      <c r="A11" s="148"/>
      <c r="B11" s="148"/>
      <c r="C11" s="149"/>
      <c r="D11" s="804"/>
      <c r="E11" s="803"/>
      <c r="F11" s="1013"/>
      <c r="G11" s="150"/>
      <c r="H11" s="89"/>
      <c r="I11" s="531"/>
      <c r="J11" s="531"/>
      <c r="K11" s="531"/>
      <c r="L11" s="531"/>
      <c r="M11" s="531"/>
      <c r="N11" s="531"/>
      <c r="O11" s="531"/>
      <c r="P11" s="531"/>
      <c r="Q11" s="531"/>
      <c r="R11" s="531"/>
      <c r="S11" s="89"/>
      <c r="T11" s="88"/>
      <c r="U11" s="88"/>
      <c r="V11" s="88"/>
      <c r="W11" s="88"/>
      <c r="X11" s="88"/>
      <c r="Y11" s="88"/>
      <c r="Z11" s="89"/>
    </row>
    <row r="12" spans="1:27">
      <c r="A12" s="148"/>
      <c r="B12" s="148"/>
      <c r="C12" s="149"/>
      <c r="D12" s="804"/>
      <c r="E12" s="804"/>
      <c r="F12" s="1011"/>
      <c r="G12" s="150"/>
      <c r="H12" s="89"/>
      <c r="I12" s="531"/>
      <c r="J12" s="531"/>
      <c r="K12" s="531"/>
      <c r="L12" s="531"/>
      <c r="M12" s="531"/>
      <c r="N12" s="531"/>
      <c r="O12" s="531"/>
      <c r="P12" s="531"/>
      <c r="Q12" s="531"/>
      <c r="R12" s="531"/>
      <c r="S12" s="89"/>
      <c r="T12" s="88"/>
      <c r="U12" s="88"/>
      <c r="V12" s="88"/>
      <c r="W12" s="88"/>
      <c r="X12" s="88"/>
      <c r="Y12" s="88"/>
      <c r="Z12" s="89"/>
    </row>
    <row r="13" spans="1:27">
      <c r="A13" s="148"/>
      <c r="B13" s="148"/>
      <c r="C13" s="149"/>
      <c r="D13" s="804"/>
      <c r="E13" s="804"/>
      <c r="F13" s="1011"/>
      <c r="G13" s="150"/>
      <c r="H13" s="89"/>
      <c r="I13" s="531"/>
      <c r="J13" s="531"/>
      <c r="K13" s="531"/>
      <c r="L13" s="531"/>
      <c r="M13" s="531"/>
      <c r="N13" s="531"/>
      <c r="O13" s="531"/>
      <c r="P13" s="531"/>
      <c r="Q13" s="531"/>
      <c r="R13" s="531"/>
      <c r="S13" s="89"/>
      <c r="T13" s="88"/>
      <c r="U13" s="88"/>
      <c r="V13" s="88"/>
      <c r="W13" s="88"/>
      <c r="X13" s="88"/>
      <c r="Y13" s="88"/>
      <c r="Z13" s="89"/>
    </row>
    <row r="14" spans="1:27">
      <c r="A14" s="148"/>
      <c r="B14" s="148"/>
      <c r="C14" s="149"/>
      <c r="D14" s="804"/>
      <c r="E14" s="804"/>
      <c r="F14" s="1011"/>
      <c r="G14" s="150"/>
      <c r="H14" s="89"/>
      <c r="I14" s="531"/>
      <c r="J14" s="531"/>
      <c r="K14" s="531"/>
      <c r="L14" s="531"/>
      <c r="M14" s="531"/>
      <c r="N14" s="531"/>
      <c r="O14" s="531"/>
      <c r="P14" s="531"/>
      <c r="Q14" s="531"/>
      <c r="R14" s="531"/>
      <c r="S14" s="89"/>
      <c r="T14" s="88"/>
      <c r="U14" s="88"/>
      <c r="V14" s="88"/>
      <c r="W14" s="88"/>
      <c r="X14" s="88"/>
      <c r="Y14" s="88"/>
      <c r="Z14" s="89"/>
    </row>
    <row r="15" spans="1:27">
      <c r="A15" s="148"/>
      <c r="B15" s="148"/>
      <c r="C15" s="149"/>
      <c r="D15" s="804"/>
      <c r="E15" s="804"/>
      <c r="F15" s="1011"/>
      <c r="G15" s="150"/>
      <c r="H15" s="89"/>
      <c r="I15" s="531"/>
      <c r="J15" s="531"/>
      <c r="K15" s="531"/>
      <c r="L15" s="531"/>
      <c r="M15" s="531"/>
      <c r="N15" s="531"/>
      <c r="O15" s="531"/>
      <c r="P15" s="531"/>
      <c r="Q15" s="531"/>
      <c r="R15" s="531"/>
      <c r="S15" s="89"/>
      <c r="T15" s="88"/>
      <c r="U15" s="88"/>
      <c r="V15" s="88"/>
      <c r="W15" s="88"/>
      <c r="X15" s="88"/>
      <c r="Y15" s="88"/>
      <c r="Z15" s="89"/>
    </row>
    <row r="16" spans="1:27">
      <c r="A16" s="148"/>
      <c r="B16" s="148"/>
      <c r="C16" s="149"/>
      <c r="D16" s="804"/>
      <c r="E16" s="804"/>
      <c r="F16" s="1011"/>
      <c r="G16" s="150"/>
      <c r="H16" s="89"/>
      <c r="I16" s="531"/>
      <c r="J16" s="531"/>
      <c r="K16" s="531"/>
      <c r="L16" s="531"/>
      <c r="M16" s="531"/>
      <c r="N16" s="531"/>
      <c r="O16" s="531"/>
      <c r="P16" s="531"/>
      <c r="Q16" s="531"/>
      <c r="R16" s="531"/>
      <c r="S16" s="89"/>
      <c r="T16" s="88"/>
      <c r="U16" s="88"/>
      <c r="V16" s="88"/>
      <c r="W16" s="88"/>
      <c r="X16" s="88"/>
      <c r="Y16" s="88"/>
      <c r="Z16" s="89"/>
    </row>
    <row r="17" spans="1:26">
      <c r="A17" s="148"/>
      <c r="B17" s="148"/>
      <c r="C17" s="149"/>
      <c r="D17" s="804"/>
      <c r="E17" s="804"/>
      <c r="F17" s="1011"/>
      <c r="G17" s="150"/>
      <c r="H17" s="89"/>
      <c r="I17" s="531"/>
      <c r="J17" s="531"/>
      <c r="K17" s="531"/>
      <c r="L17" s="531"/>
      <c r="M17" s="531"/>
      <c r="N17" s="531"/>
      <c r="O17" s="531"/>
      <c r="P17" s="531"/>
      <c r="Q17" s="531"/>
      <c r="R17" s="531"/>
      <c r="S17" s="89"/>
      <c r="T17" s="88"/>
      <c r="U17" s="88"/>
      <c r="V17" s="88"/>
      <c r="W17" s="88"/>
      <c r="X17" s="88"/>
      <c r="Y17" s="88"/>
      <c r="Z17" s="89"/>
    </row>
    <row r="18" spans="1:26">
      <c r="A18" s="148"/>
      <c r="B18" s="148"/>
      <c r="C18" s="149"/>
      <c r="D18" s="804"/>
      <c r="E18" s="804"/>
      <c r="F18" s="1011"/>
      <c r="G18" s="150"/>
      <c r="H18" s="89"/>
      <c r="I18" s="531"/>
      <c r="J18" s="531"/>
      <c r="K18" s="531"/>
      <c r="L18" s="531"/>
      <c r="M18" s="531"/>
      <c r="N18" s="531"/>
      <c r="O18" s="531"/>
      <c r="P18" s="531"/>
      <c r="Q18" s="531"/>
      <c r="R18" s="531"/>
      <c r="S18" s="89"/>
      <c r="T18" s="88"/>
      <c r="U18" s="88"/>
      <c r="V18" s="88"/>
      <c r="W18" s="88"/>
      <c r="X18" s="88"/>
      <c r="Y18" s="88"/>
      <c r="Z18" s="89"/>
    </row>
    <row r="19" spans="1:26">
      <c r="A19" s="148"/>
      <c r="B19" s="148"/>
      <c r="C19" s="149"/>
      <c r="D19" s="804"/>
      <c r="E19" s="804"/>
      <c r="F19" s="1011"/>
      <c r="G19" s="150"/>
      <c r="H19" s="89"/>
      <c r="I19" s="531"/>
      <c r="J19" s="531"/>
      <c r="K19" s="531"/>
      <c r="L19" s="531"/>
      <c r="M19" s="531"/>
      <c r="N19" s="531"/>
      <c r="O19" s="531"/>
      <c r="P19" s="531"/>
      <c r="Q19" s="531"/>
      <c r="R19" s="531"/>
      <c r="S19" s="89"/>
      <c r="T19" s="88"/>
      <c r="U19" s="88"/>
      <c r="V19" s="88"/>
      <c r="W19" s="88"/>
      <c r="X19" s="88"/>
      <c r="Y19" s="88"/>
      <c r="Z19" s="89"/>
    </row>
    <row r="20" spans="1:26">
      <c r="A20" s="148"/>
      <c r="B20" s="148"/>
      <c r="C20" s="149"/>
      <c r="D20" s="804"/>
      <c r="E20" s="804"/>
      <c r="F20" s="1011"/>
      <c r="G20" s="150"/>
      <c r="H20" s="89"/>
      <c r="I20" s="531"/>
      <c r="J20" s="531"/>
      <c r="K20" s="531"/>
      <c r="L20" s="531"/>
      <c r="M20" s="531"/>
      <c r="N20" s="531"/>
      <c r="O20" s="531"/>
      <c r="P20" s="531"/>
      <c r="Q20" s="531"/>
      <c r="R20" s="531"/>
      <c r="S20" s="89"/>
      <c r="T20" s="88"/>
      <c r="U20" s="88"/>
      <c r="V20" s="88"/>
      <c r="W20" s="88"/>
      <c r="X20" s="88"/>
      <c r="Y20" s="88"/>
      <c r="Z20" s="89"/>
    </row>
    <row r="21" spans="1:26">
      <c r="A21" s="148"/>
      <c r="B21" s="148"/>
      <c r="C21" s="149"/>
      <c r="D21" s="804"/>
      <c r="E21" s="804"/>
      <c r="F21" s="1353"/>
      <c r="G21" s="150"/>
      <c r="H21" s="89"/>
      <c r="I21" s="531"/>
      <c r="J21" s="531"/>
      <c r="K21" s="531"/>
      <c r="L21" s="531"/>
      <c r="M21" s="531"/>
      <c r="N21" s="531"/>
      <c r="O21" s="531"/>
      <c r="P21" s="531"/>
      <c r="Q21" s="531"/>
      <c r="R21" s="531"/>
      <c r="S21" s="89"/>
      <c r="T21" s="88"/>
      <c r="U21" s="88"/>
      <c r="V21" s="88"/>
      <c r="W21" s="88"/>
      <c r="X21" s="88"/>
      <c r="Y21" s="88"/>
      <c r="Z21" s="89"/>
    </row>
    <row r="22" spans="1:26">
      <c r="A22" s="148"/>
      <c r="B22" s="148"/>
      <c r="C22" s="149"/>
      <c r="D22" s="804"/>
      <c r="E22" s="804"/>
      <c r="F22" s="1011"/>
      <c r="G22" s="150"/>
      <c r="H22" s="89"/>
      <c r="I22" s="531"/>
      <c r="J22" s="531"/>
      <c r="K22" s="531"/>
      <c r="L22" s="531"/>
      <c r="M22" s="531"/>
      <c r="N22" s="531"/>
      <c r="O22" s="531"/>
      <c r="P22" s="531"/>
      <c r="Q22" s="531"/>
      <c r="R22" s="531"/>
      <c r="S22" s="89"/>
      <c r="T22" s="88"/>
      <c r="U22" s="88"/>
      <c r="V22" s="88"/>
      <c r="W22" s="88"/>
      <c r="X22" s="88"/>
      <c r="Y22" s="88"/>
      <c r="Z22" s="89"/>
    </row>
    <row r="23" spans="1:26">
      <c r="A23" s="148"/>
      <c r="B23" s="148"/>
      <c r="C23" s="149"/>
      <c r="D23" s="804"/>
      <c r="E23" s="804"/>
      <c r="F23" s="1011"/>
      <c r="G23" s="150"/>
      <c r="H23" s="89"/>
      <c r="I23" s="531"/>
      <c r="J23" s="531"/>
      <c r="K23" s="531"/>
      <c r="L23" s="531"/>
      <c r="M23" s="531"/>
      <c r="N23" s="531"/>
      <c r="O23" s="531"/>
      <c r="P23" s="531"/>
      <c r="Q23" s="531"/>
      <c r="R23" s="531"/>
      <c r="S23" s="89"/>
      <c r="T23" s="88"/>
      <c r="U23" s="88"/>
      <c r="V23" s="88"/>
      <c r="W23" s="88"/>
      <c r="X23" s="88"/>
      <c r="Y23" s="88"/>
      <c r="Z23" s="89"/>
    </row>
    <row r="24" spans="1:26">
      <c r="A24" s="148"/>
      <c r="B24" s="148"/>
      <c r="C24" s="149"/>
      <c r="D24" s="804"/>
      <c r="E24" s="804"/>
      <c r="F24" s="1011"/>
      <c r="G24" s="150"/>
      <c r="H24" s="89"/>
      <c r="I24" s="531"/>
      <c r="J24" s="531"/>
      <c r="K24" s="531"/>
      <c r="L24" s="531"/>
      <c r="M24" s="531"/>
      <c r="N24" s="531"/>
      <c r="O24" s="531"/>
      <c r="P24" s="531"/>
      <c r="Q24" s="531"/>
      <c r="R24" s="531"/>
      <c r="S24" s="89"/>
      <c r="T24" s="88"/>
      <c r="U24" s="88"/>
      <c r="V24" s="88"/>
      <c r="W24" s="88"/>
      <c r="X24" s="88"/>
      <c r="Y24" s="88"/>
      <c r="Z24" s="89"/>
    </row>
    <row r="25" spans="1:26">
      <c r="A25" s="148"/>
      <c r="B25" s="148"/>
      <c r="C25" s="149"/>
      <c r="D25" s="804"/>
      <c r="E25" s="804"/>
      <c r="F25" s="1011"/>
      <c r="G25" s="150"/>
      <c r="H25" s="89"/>
      <c r="I25" s="531"/>
      <c r="J25" s="531"/>
      <c r="K25" s="531"/>
      <c r="L25" s="531"/>
      <c r="M25" s="531"/>
      <c r="N25" s="531"/>
      <c r="O25" s="531"/>
      <c r="P25" s="531"/>
      <c r="Q25" s="531"/>
      <c r="R25" s="531"/>
      <c r="S25" s="89"/>
      <c r="T25" s="88"/>
      <c r="U25" s="88"/>
      <c r="V25" s="88"/>
      <c r="W25" s="88"/>
      <c r="X25" s="88"/>
      <c r="Y25" s="88"/>
      <c r="Z25" s="89"/>
    </row>
    <row r="26" spans="1:26">
      <c r="A26" s="148"/>
      <c r="B26" s="148"/>
      <c r="C26" s="149"/>
      <c r="D26" s="804"/>
      <c r="E26" s="804"/>
      <c r="F26" s="1011"/>
      <c r="G26" s="150"/>
      <c r="H26" s="89"/>
      <c r="I26" s="531"/>
      <c r="J26" s="531"/>
      <c r="K26" s="531"/>
      <c r="L26" s="531"/>
      <c r="M26" s="531"/>
      <c r="N26" s="531"/>
      <c r="O26" s="531"/>
      <c r="P26" s="531"/>
      <c r="Q26" s="531"/>
      <c r="R26" s="531"/>
      <c r="S26" s="89"/>
      <c r="T26" s="88"/>
      <c r="U26" s="88"/>
      <c r="V26" s="88"/>
      <c r="W26" s="88"/>
      <c r="X26" s="88"/>
      <c r="Y26" s="88"/>
      <c r="Z26" s="89"/>
    </row>
    <row r="27" spans="1:26">
      <c r="A27" s="148"/>
      <c r="B27" s="148"/>
      <c r="C27" s="149"/>
      <c r="D27" s="804"/>
      <c r="E27" s="804"/>
      <c r="F27" s="1011"/>
      <c r="G27" s="150"/>
      <c r="H27" s="89"/>
      <c r="I27" s="531"/>
      <c r="J27" s="531"/>
      <c r="K27" s="531"/>
      <c r="L27" s="531"/>
      <c r="M27" s="531"/>
      <c r="N27" s="531"/>
      <c r="O27" s="531"/>
      <c r="P27" s="531"/>
      <c r="Q27" s="531"/>
      <c r="R27" s="531"/>
      <c r="S27" s="89"/>
      <c r="T27" s="88"/>
      <c r="U27" s="88"/>
      <c r="V27" s="88"/>
      <c r="W27" s="88"/>
      <c r="X27" s="88"/>
      <c r="Y27" s="88"/>
      <c r="Z27" s="89"/>
    </row>
    <row r="28" spans="1:26">
      <c r="A28" s="148"/>
      <c r="B28" s="148"/>
      <c r="C28" s="149"/>
      <c r="D28" s="804"/>
      <c r="E28" s="804"/>
      <c r="F28" s="1011"/>
      <c r="G28" s="150"/>
      <c r="H28" s="89"/>
      <c r="I28" s="531"/>
      <c r="J28" s="531"/>
      <c r="K28" s="531"/>
      <c r="L28" s="531"/>
      <c r="M28" s="531"/>
      <c r="N28" s="531"/>
      <c r="O28" s="531"/>
      <c r="P28" s="531"/>
      <c r="Q28" s="531"/>
      <c r="R28" s="531"/>
      <c r="S28" s="89"/>
      <c r="T28" s="88"/>
      <c r="U28" s="88"/>
      <c r="V28" s="88"/>
      <c r="W28" s="88"/>
      <c r="X28" s="88"/>
      <c r="Y28" s="88"/>
      <c r="Z28" s="89"/>
    </row>
    <row r="29" spans="1:26">
      <c r="A29" s="148"/>
      <c r="B29" s="148"/>
      <c r="C29" s="149"/>
      <c r="D29" s="804"/>
      <c r="E29" s="804"/>
      <c r="F29" s="1011"/>
      <c r="G29" s="150"/>
      <c r="H29" s="89"/>
      <c r="I29" s="531"/>
      <c r="J29" s="531"/>
      <c r="K29" s="531"/>
      <c r="L29" s="531"/>
      <c r="M29" s="531"/>
      <c r="N29" s="531"/>
      <c r="O29" s="531"/>
      <c r="P29" s="531"/>
      <c r="Q29" s="531"/>
      <c r="R29" s="531"/>
      <c r="S29" s="89"/>
      <c r="T29" s="88"/>
      <c r="U29" s="88"/>
      <c r="V29" s="88"/>
      <c r="W29" s="88"/>
      <c r="X29" s="88"/>
      <c r="Y29" s="88"/>
      <c r="Z29" s="89"/>
    </row>
    <row r="30" spans="1:26">
      <c r="A30" s="251"/>
      <c r="B30" s="251"/>
      <c r="C30" s="206"/>
      <c r="D30" s="206"/>
      <c r="E30" s="206" t="s">
        <v>304</v>
      </c>
      <c r="F30" s="1354" t="s">
        <v>232</v>
      </c>
      <c r="G30" s="245"/>
      <c r="H30" s="793"/>
      <c r="I30" s="533"/>
      <c r="J30" s="533"/>
      <c r="K30" s="533"/>
      <c r="L30" s="533"/>
      <c r="M30" s="533"/>
      <c r="N30" s="534">
        <f>SUM(N8:N29)</f>
        <v>0</v>
      </c>
      <c r="O30" s="534">
        <f>SUM(O8:O29)</f>
        <v>0</v>
      </c>
      <c r="P30" s="534">
        <f>SUM(P8:P29)</f>
        <v>0</v>
      </c>
      <c r="Q30" s="534">
        <f>SUM(Q8:Q29)</f>
        <v>0</v>
      </c>
      <c r="R30" s="534">
        <f>SUM(R8:R29)</f>
        <v>0</v>
      </c>
      <c r="S30" s="875"/>
      <c r="T30" s="151"/>
      <c r="U30" s="151"/>
      <c r="V30" s="151"/>
      <c r="W30" s="151"/>
      <c r="X30" s="151"/>
      <c r="Y30" s="151"/>
      <c r="Z30" s="152"/>
    </row>
    <row r="31" spans="1:26">
      <c r="N31" s="532" t="s">
        <v>97</v>
      </c>
      <c r="O31" s="532" t="s">
        <v>191</v>
      </c>
      <c r="P31" s="532" t="s">
        <v>195</v>
      </c>
      <c r="Q31" s="532" t="s">
        <v>101</v>
      </c>
      <c r="R31" s="532"/>
    </row>
  </sheetData>
  <mergeCells count="15">
    <mergeCell ref="A5:A6"/>
    <mergeCell ref="B5:B6"/>
    <mergeCell ref="F5:F6"/>
    <mergeCell ref="G5:G6"/>
    <mergeCell ref="S5:S6"/>
    <mergeCell ref="M5:M6"/>
    <mergeCell ref="R5:R6"/>
    <mergeCell ref="Z5:Z6"/>
    <mergeCell ref="X5:X6"/>
    <mergeCell ref="C5:C6"/>
    <mergeCell ref="D5:D6"/>
    <mergeCell ref="E5:E6"/>
    <mergeCell ref="H5:H6"/>
    <mergeCell ref="Y5:Y6"/>
    <mergeCell ref="W5:W6"/>
  </mergeCells>
  <phoneticPr fontId="60" type="noConversion"/>
  <conditionalFormatting sqref="AA8:AA29">
    <cfRule type="cellIs" dxfId="9" priority="7" stopIfTrue="1" operator="notEqual">
      <formula>I8</formula>
    </cfRule>
  </conditionalFormatting>
  <conditionalFormatting sqref="AA7:AA29">
    <cfRule type="cellIs" dxfId="8" priority="5" stopIfTrue="1" operator="notEqual">
      <formula>I7</formula>
    </cfRule>
  </conditionalFormatting>
  <conditionalFormatting sqref="AA7">
    <cfRule type="cellIs" dxfId="7" priority="4" stopIfTrue="1" operator="notEqual">
      <formula>I7</formula>
    </cfRule>
  </conditionalFormatting>
  <conditionalFormatting sqref="AA7">
    <cfRule type="cellIs" dxfId="6" priority="3" stopIfTrue="1" operator="notEqual">
      <formula>I7</formula>
    </cfRule>
  </conditionalFormatting>
  <conditionalFormatting sqref="AA7:AA10">
    <cfRule type="cellIs" dxfId="5" priority="2" stopIfTrue="1" operator="notEqual">
      <formula>I7</formula>
    </cfRule>
  </conditionalFormatting>
  <conditionalFormatting sqref="AA7:AA10">
    <cfRule type="cellIs" dxfId="4" priority="1" stopIfTrue="1" operator="notEqual">
      <formula>I7</formula>
    </cfRule>
  </conditionalFormatting>
  <dataValidations count="3">
    <dataValidation allowBlank="1" showInputMessage="1" showErrorMessage="1" sqref="E8:E10"/>
    <dataValidation allowBlank="1" showInputMessage="1" showErrorMessage="1" prompt="GXD 10" sqref="A1"/>
    <dataValidation allowBlank="1" showInputMessage="1" showErrorMessage="1" prompt="GXD10.7" sqref="B1"/>
  </dataValidations>
  <hyperlinks>
    <hyperlink ref="AA1" location="'Du toan LD'!AS7" tooltip="Click vào đây để chuyển sang bảng so sánh khi thẩm tra/ thẩm định" display="&gt;&gt;&gt;&gt;&gt;"/>
  </hyperlinks>
  <printOptions horizontalCentered="1"/>
  <pageMargins left="0.75" right="7.8740157480315001E-2" top="0.5" bottom="0.5" header="0.25" footer="0.25"/>
  <pageSetup paperSize="9" orientation="landscape" blackAndWhite="1" horizontalDpi="300" verticalDpi="300" r:id="rId1"/>
  <headerFooter>
    <oddFooter>&amp;C&amp;P</oddFooter>
  </headerFooter>
  <ignoredErrors>
    <ignoredError sqref="B2:B3 N30" unlockedFormula="1"/>
  </ignoredErrors>
  <legacyDrawing r:id="rId2"/>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GCTTB">
    <tabColor rgb="FF339966"/>
  </sheetPr>
  <dimension ref="A1:S7"/>
  <sheetViews>
    <sheetView showZeros="0" topLeftCell="B1" zoomScaleSheetLayoutView="100" workbookViewId="0">
      <selection activeCell="B7" sqref="B7"/>
    </sheetView>
  </sheetViews>
  <sheetFormatPr defaultColWidth="9" defaultRowHeight="15.75"/>
  <cols>
    <col min="1" max="1" width="2.5703125" style="17" hidden="1" customWidth="1"/>
    <col min="2" max="2" width="8" style="25" bestFit="1" customWidth="1"/>
    <col min="3" max="3" width="7.5703125" style="25" hidden="1" customWidth="1"/>
    <col min="4" max="4" width="12.5703125" style="25" hidden="1" customWidth="1"/>
    <col min="5" max="5" width="9.5703125" style="22" customWidth="1"/>
    <col min="6" max="6" width="13.5703125" style="181" customWidth="1"/>
    <col min="7" max="7" width="29.5703125" style="1" customWidth="1"/>
    <col min="8" max="8" width="6.5703125" style="97" customWidth="1"/>
    <col min="9" max="9" width="9.5703125" style="524" hidden="1" customWidth="1"/>
    <col min="10" max="10" width="9.5703125" style="17" customWidth="1"/>
    <col min="11" max="11" width="11.42578125" style="184" customWidth="1"/>
    <col min="12" max="12" width="4.5703125" style="17" customWidth="1"/>
    <col min="13" max="13" width="12" style="184" customWidth="1"/>
    <col min="14" max="14" width="9" style="158" customWidth="1"/>
    <col min="15" max="15" width="12" style="158" customWidth="1"/>
    <col min="16" max="19" width="12" style="17" customWidth="1"/>
    <col min="20" max="16384" width="9" style="17"/>
  </cols>
  <sheetData>
    <row r="1" spans="1:19" ht="27.95" customHeight="1">
      <c r="B1" s="455" t="s">
        <v>180</v>
      </c>
      <c r="C1" s="257"/>
      <c r="D1" s="2"/>
      <c r="E1" s="769"/>
      <c r="F1" s="99"/>
      <c r="G1" s="92"/>
      <c r="H1" s="92"/>
      <c r="I1" s="522"/>
      <c r="J1" s="101"/>
      <c r="K1" s="171"/>
      <c r="L1" s="101"/>
      <c r="M1" s="171"/>
    </row>
    <row r="2" spans="1:19" ht="22.15" customHeight="1">
      <c r="B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C2" s="3"/>
      <c r="D2" s="3"/>
      <c r="E2" s="296"/>
      <c r="F2" s="100"/>
      <c r="G2" s="94"/>
      <c r="H2" s="94"/>
      <c r="I2" s="523"/>
      <c r="J2" s="6"/>
      <c r="K2" s="48"/>
      <c r="L2" s="6"/>
      <c r="M2" s="48"/>
    </row>
    <row r="3" spans="1:19" ht="22.15" customHeight="1">
      <c r="B3" s="1019" t="str">
        <f>'Bia-DTTB'!D43&amp;'Bia-DTTB'!E43</f>
        <v>HẠNG MỤC: MẪU NO-01-110-2-TCL</v>
      </c>
      <c r="C3" s="3"/>
      <c r="D3" s="3"/>
      <c r="E3" s="296"/>
      <c r="F3" s="100"/>
      <c r="G3" s="94"/>
      <c r="H3" s="94"/>
      <c r="I3" s="523"/>
      <c r="J3" s="6"/>
      <c r="K3" s="48"/>
      <c r="L3" s="6"/>
      <c r="M3" s="48"/>
    </row>
    <row r="4" spans="1:19">
      <c r="B4" s="17"/>
      <c r="C4" s="17"/>
      <c r="D4" s="17"/>
      <c r="M4" s="162" t="s">
        <v>310</v>
      </c>
    </row>
    <row r="5" spans="1:19" ht="30" customHeight="1">
      <c r="A5" s="246" t="s">
        <v>390</v>
      </c>
      <c r="B5" s="1032" t="s">
        <v>196</v>
      </c>
      <c r="C5" s="1032" t="s">
        <v>145</v>
      </c>
      <c r="D5" s="1031" t="s">
        <v>187</v>
      </c>
      <c r="E5" s="1032" t="s">
        <v>188</v>
      </c>
      <c r="F5" s="1031" t="s">
        <v>135</v>
      </c>
      <c r="G5" s="1118" t="s">
        <v>190</v>
      </c>
      <c r="H5" s="1032" t="s">
        <v>122</v>
      </c>
      <c r="I5" s="1034" t="s">
        <v>136</v>
      </c>
      <c r="J5" s="1032" t="s">
        <v>189</v>
      </c>
      <c r="K5" s="1036" t="s">
        <v>625</v>
      </c>
      <c r="L5" s="1032" t="s">
        <v>127</v>
      </c>
      <c r="M5" s="1036" t="s">
        <v>124</v>
      </c>
      <c r="N5" s="1332" t="s">
        <v>137</v>
      </c>
      <c r="O5" s="1333" t="s">
        <v>18</v>
      </c>
      <c r="P5" s="1333" t="s">
        <v>1037</v>
      </c>
      <c r="Q5" s="1333" t="s">
        <v>1038</v>
      </c>
      <c r="R5" s="1333" t="s">
        <v>777</v>
      </c>
      <c r="S5" s="1333" t="s">
        <v>1039</v>
      </c>
    </row>
    <row r="6" spans="1:19" s="445" customFormat="1" ht="15">
      <c r="A6" s="625"/>
      <c r="B6" s="521" t="s">
        <v>273</v>
      </c>
      <c r="C6" s="521"/>
      <c r="D6" s="521"/>
      <c r="E6" s="625" t="s">
        <v>276</v>
      </c>
      <c r="F6" s="625" t="s">
        <v>277</v>
      </c>
      <c r="G6" s="625" t="s">
        <v>278</v>
      </c>
      <c r="H6" s="625" t="s">
        <v>279</v>
      </c>
      <c r="I6" s="625" t="s">
        <v>280</v>
      </c>
      <c r="J6" s="521" t="s">
        <v>282</v>
      </c>
      <c r="K6" s="742" t="s">
        <v>283</v>
      </c>
      <c r="L6" s="521" t="s">
        <v>288</v>
      </c>
      <c r="M6" s="742" t="s">
        <v>292</v>
      </c>
      <c r="N6" s="535" t="s">
        <v>293</v>
      </c>
      <c r="O6" s="535" t="s">
        <v>294</v>
      </c>
      <c r="P6" s="535" t="s">
        <v>295</v>
      </c>
      <c r="Q6" s="535" t="s">
        <v>1040</v>
      </c>
      <c r="R6" s="535" t="s">
        <v>296</v>
      </c>
      <c r="S6" s="535" t="s">
        <v>297</v>
      </c>
    </row>
    <row r="7" spans="1:19">
      <c r="E7" s="97"/>
      <c r="F7" s="180"/>
      <c r="I7" s="97"/>
    </row>
  </sheetData>
  <autoFilter ref="B6:M7"/>
  <phoneticPr fontId="60" type="noConversion"/>
  <dataValidations xWindow="1202" yWindow="273" count="2">
    <dataValidation allowBlank="1" showInputMessage="1" showErrorMessage="1" prompt="Có thể tra vật tư ở đây" sqref="F7"/>
    <dataValidation allowBlank="1" showErrorMessage="1" sqref="E7"/>
  </dataValidations>
  <printOptions horizontalCentered="1"/>
  <pageMargins left="0.511811023622047" right="0.15748031496063" top="0.511811023622047" bottom="0.511811023622047" header="0.23622047244094499" footer="0.23622047244094499"/>
  <pageSetup paperSize="9" orientation="portrait" blackAndWhite="1" horizontalDpi="300" verticalDpi="300" r:id="rId1"/>
  <headerFooter>
    <oddFooter>&amp;C&amp;P</oddFooter>
  </headerFooter>
  <ignoredErrors>
    <ignoredError sqref="B2:B3" unlockedFormula="1"/>
  </ignoredErrors>
  <legacy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HTB">
    <tabColor indexed="57"/>
  </sheetPr>
  <dimension ref="A1:N6"/>
  <sheetViews>
    <sheetView showZeros="0" zoomScaleSheetLayoutView="100" workbookViewId="0">
      <selection activeCell="B7" sqref="B7"/>
    </sheetView>
  </sheetViews>
  <sheetFormatPr defaultColWidth="9" defaultRowHeight="15.75"/>
  <cols>
    <col min="1" max="1" width="7.5703125" style="25" bestFit="1" customWidth="1"/>
    <col min="2" max="2" width="14.5703125" style="157" customWidth="1"/>
    <col min="3" max="3" width="36.5703125" style="1" customWidth="1"/>
    <col min="4" max="4" width="7.5703125" style="97" customWidth="1"/>
    <col min="5" max="5" width="12.5703125" style="158" customWidth="1"/>
    <col min="6" max="8" width="12.5703125" style="184" customWidth="1"/>
    <col min="9" max="9" width="14.5703125" style="184" customWidth="1"/>
    <col min="10" max="10" width="14.5703125" style="184" hidden="1" customWidth="1"/>
    <col min="11" max="11" width="16.5703125" style="184" customWidth="1"/>
    <col min="12" max="12" width="9" style="158" hidden="1" customWidth="1"/>
    <col min="13" max="14" width="9" style="184" hidden="1" customWidth="1"/>
    <col min="15" max="16" width="9" style="17" customWidth="1"/>
    <col min="17" max="16384" width="9" style="17"/>
  </cols>
  <sheetData>
    <row r="1" spans="1:14" ht="27.95" customHeight="1">
      <c r="A1" s="449" t="s">
        <v>179</v>
      </c>
      <c r="B1" s="255"/>
      <c r="C1" s="101"/>
      <c r="D1" s="101"/>
      <c r="E1" s="253"/>
      <c r="F1" s="171"/>
      <c r="G1" s="171"/>
      <c r="H1" s="171"/>
      <c r="I1" s="171"/>
      <c r="K1" s="791"/>
    </row>
    <row r="2" spans="1:14"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756"/>
      <c r="C2" s="6"/>
      <c r="D2" s="6"/>
      <c r="E2" s="254"/>
      <c r="F2" s="48"/>
      <c r="G2" s="48"/>
      <c r="H2" s="48"/>
      <c r="I2" s="48"/>
      <c r="J2" s="325"/>
      <c r="K2" s="792"/>
    </row>
    <row r="3" spans="1:14" ht="22.15" customHeight="1">
      <c r="A3" s="1019" t="str">
        <f>'Bia-DTTB'!D43&amp;'Bia-DTTB'!E43</f>
        <v>HẠNG MỤC: MẪU NO-01-110-2-TCL</v>
      </c>
      <c r="B3" s="756"/>
      <c r="C3" s="6"/>
      <c r="D3" s="6"/>
      <c r="E3" s="254"/>
      <c r="F3" s="48"/>
      <c r="G3" s="48"/>
      <c r="H3" s="48"/>
      <c r="I3" s="48"/>
      <c r="J3" s="325"/>
      <c r="K3" s="792"/>
    </row>
    <row r="4" spans="1:14">
      <c r="A4" s="17"/>
      <c r="F4" s="162"/>
      <c r="I4" s="162" t="s">
        <v>310</v>
      </c>
      <c r="J4" s="162"/>
      <c r="K4" s="162"/>
    </row>
    <row r="5" spans="1:14" ht="78.75">
      <c r="A5" s="1032" t="s">
        <v>196</v>
      </c>
      <c r="B5" s="1032" t="s">
        <v>135</v>
      </c>
      <c r="C5" s="1032" t="s">
        <v>138</v>
      </c>
      <c r="D5" s="1032" t="s">
        <v>122</v>
      </c>
      <c r="E5" s="1034" t="s">
        <v>136</v>
      </c>
      <c r="F5" s="1036" t="s">
        <v>246</v>
      </c>
      <c r="G5" s="1036" t="s">
        <v>272</v>
      </c>
      <c r="H5" s="1036" t="s">
        <v>139</v>
      </c>
      <c r="I5" s="1036" t="s">
        <v>124</v>
      </c>
      <c r="J5" s="1036" t="s">
        <v>124</v>
      </c>
      <c r="K5" s="1036" t="s">
        <v>322</v>
      </c>
      <c r="L5" s="476" t="s">
        <v>382</v>
      </c>
      <c r="M5" s="525" t="s">
        <v>383</v>
      </c>
      <c r="N5" s="525" t="s">
        <v>384</v>
      </c>
    </row>
    <row r="6" spans="1:14" s="432" customFormat="1" ht="12.75">
      <c r="A6" s="441" t="s">
        <v>273</v>
      </c>
      <c r="B6" s="442" t="s">
        <v>276</v>
      </c>
      <c r="C6" s="442" t="s">
        <v>277</v>
      </c>
      <c r="D6" s="442" t="s">
        <v>278</v>
      </c>
      <c r="E6" s="483" t="s">
        <v>279</v>
      </c>
      <c r="F6" s="447" t="s">
        <v>280</v>
      </c>
      <c r="G6" s="447" t="s">
        <v>282</v>
      </c>
      <c r="H6" s="447" t="s">
        <v>290</v>
      </c>
      <c r="I6" s="447" t="s">
        <v>291</v>
      </c>
      <c r="J6" s="490" t="s">
        <v>303</v>
      </c>
      <c r="K6" s="447" t="s">
        <v>292</v>
      </c>
      <c r="L6" s="440" t="s">
        <v>293</v>
      </c>
      <c r="M6" s="490" t="s">
        <v>294</v>
      </c>
      <c r="N6" s="490" t="s">
        <v>292</v>
      </c>
    </row>
  </sheetData>
  <autoFilter ref="A6:I7"/>
  <phoneticPr fontId="60" type="noConversion"/>
  <conditionalFormatting sqref="G7:G65536">
    <cfRule type="cellIs" dxfId="3" priority="1" stopIfTrue="1" operator="greaterThan">
      <formula>F7</formula>
    </cfRule>
    <cfRule type="cellIs" dxfId="2" priority="2" stopIfTrue="1" operator="lessThan">
      <formula>F7</formula>
    </cfRule>
  </conditionalFormatting>
  <dataValidations count="1">
    <dataValidation allowBlank="1" showInputMessage="1" showErrorMessage="1" prompt="Không xóa ô này" sqref="L5:M5"/>
  </dataValidations>
  <printOptions horizontalCentered="1"/>
  <pageMargins left="0.511811023622047" right="0.15748031496063" top="0.511811023622047" bottom="0.511811023622047" header="0.23622047244094499" footer="0.23622047244094499"/>
  <pageSetup paperSize="9" orientation="landscape" blackAndWhite="1" horizontalDpi="300" verticalDpi="300" r:id="rId1"/>
  <headerFooter>
    <oddFooter>&amp;C&amp;P</oddFooter>
  </headerFooter>
  <ignoredErrors>
    <ignoredError sqref="A2:A3" unlockedFormula="1"/>
  </ignoredError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PLVTB">
    <tabColor rgb="FF339966"/>
  </sheetPr>
  <dimension ref="A1:H7"/>
  <sheetViews>
    <sheetView zoomScaleSheetLayoutView="100" workbookViewId="0">
      <selection activeCell="B7" sqref="B7"/>
    </sheetView>
  </sheetViews>
  <sheetFormatPr defaultRowHeight="15"/>
  <cols>
    <col min="1" max="1" width="5" style="264" customWidth="1"/>
    <col min="2" max="2" width="8.5703125" style="600" customWidth="1"/>
    <col min="3" max="3" width="8.5703125" style="155" customWidth="1"/>
    <col min="4" max="4" width="23.42578125" style="599" customWidth="1"/>
    <col min="5" max="5" width="8.42578125" style="264" customWidth="1"/>
    <col min="6" max="6" width="11" style="155" customWidth="1"/>
    <col min="7" max="7" width="12.140625" style="604" customWidth="1"/>
    <col min="8" max="8" width="14.5703125" style="604" customWidth="1"/>
  </cols>
  <sheetData>
    <row r="1" spans="1:8" ht="22.5">
      <c r="A1" s="257" t="s">
        <v>531</v>
      </c>
      <c r="B1" s="257"/>
      <c r="C1" s="102"/>
      <c r="D1" s="602"/>
      <c r="E1" s="102"/>
      <c r="F1" s="102"/>
      <c r="G1" s="260"/>
      <c r="H1" s="260"/>
    </row>
    <row r="2" spans="1:8"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6"/>
      <c r="C2" s="94"/>
      <c r="D2" s="94"/>
      <c r="E2" s="103"/>
      <c r="F2" s="103"/>
      <c r="G2" s="48"/>
      <c r="H2" s="48"/>
    </row>
    <row r="3" spans="1:8" ht="22.15" customHeight="1">
      <c r="A3" s="1019" t="str">
        <f>'Bia-DTTB'!D43&amp;'Bia-DTTB'!E43</f>
        <v>HẠNG MỤC: MẪU NO-01-110-2-TCL</v>
      </c>
      <c r="B3" s="113"/>
      <c r="C3" s="113"/>
      <c r="D3" s="603"/>
      <c r="E3" s="113"/>
      <c r="F3" s="113"/>
      <c r="G3" s="252"/>
      <c r="H3" s="252"/>
    </row>
    <row r="4" spans="1:8">
      <c r="H4" s="162" t="s">
        <v>310</v>
      </c>
    </row>
    <row r="5" spans="1:8" ht="31.9" customHeight="1">
      <c r="A5" s="1035" t="s">
        <v>196</v>
      </c>
      <c r="B5" s="1035" t="s">
        <v>145</v>
      </c>
      <c r="C5" s="1035" t="s">
        <v>135</v>
      </c>
      <c r="D5" s="1035" t="s">
        <v>141</v>
      </c>
      <c r="E5" s="1035" t="s">
        <v>122</v>
      </c>
      <c r="F5" s="1035" t="s">
        <v>131</v>
      </c>
      <c r="G5" s="1036" t="s">
        <v>123</v>
      </c>
      <c r="H5" s="1036" t="s">
        <v>124</v>
      </c>
    </row>
    <row r="6" spans="1:8" s="456" customFormat="1" ht="12.75">
      <c r="A6" s="441" t="s">
        <v>273</v>
      </c>
      <c r="B6" s="442" t="s">
        <v>276</v>
      </c>
      <c r="C6" s="441" t="s">
        <v>277</v>
      </c>
      <c r="D6" s="442" t="s">
        <v>278</v>
      </c>
      <c r="E6" s="441" t="s">
        <v>279</v>
      </c>
      <c r="F6" s="441" t="s">
        <v>280</v>
      </c>
      <c r="G6" s="447" t="s">
        <v>282</v>
      </c>
      <c r="H6" s="447" t="s">
        <v>302</v>
      </c>
    </row>
    <row r="7" spans="1:8">
      <c r="B7" s="601"/>
    </row>
  </sheetData>
  <phoneticPr fontId="60" type="noConversion"/>
  <dataValidations count="2">
    <dataValidation allowBlank="1" showInputMessage="1" showErrorMessage="1" sqref="B6"/>
    <dataValidation allowBlank="1" showInputMessage="1" showErrorMessage="1" prompt="Có thể tra vữa theo mã hoặc từ khóa ở đây" sqref="B8:B65536"/>
  </dataValidations>
  <printOptions horizontalCentered="1"/>
  <pageMargins left="0.75" right="0.25" top="0.75" bottom="0.5" header="0.25" footer="0.25"/>
  <pageSetup paperSize="9" orientation="portrait" blackAndWhite="1" horizontalDpi="300" verticalDpi="300" r:id="rId1"/>
  <headerFooter>
    <oddHeader>&amp;L&amp;"+,nghiêng"&amp;10Dự toán GXD - www.giaxaydung.vn</oddHeader>
    <oddFooter>&amp;C&amp;P</oddFooter>
  </headerFooter>
  <ignoredErrors>
    <ignoredError sqref="A2:A3" unlockedFormula="1"/>
  </ignoredErrors>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VLHTTB">
    <tabColor rgb="FF339966"/>
  </sheetPr>
  <dimension ref="A1:BD8"/>
  <sheetViews>
    <sheetView showZeros="0" zoomScaleNormal="100" workbookViewId="0">
      <pane xSplit="3" ySplit="7" topLeftCell="K8" activePane="bottomRight" state="frozen"/>
      <selection activeCell="B7" sqref="B7"/>
      <selection pane="topRight" activeCell="B7" sqref="B7"/>
      <selection pane="bottomLeft" activeCell="B7" sqref="B7"/>
      <selection pane="bottomRight" activeCell="BA7" sqref="BA7"/>
    </sheetView>
  </sheetViews>
  <sheetFormatPr defaultColWidth="9" defaultRowHeight="15.75"/>
  <cols>
    <col min="1" max="1" width="4.42578125" style="167" customWidth="1"/>
    <col min="2" max="2" width="7.42578125" style="157" customWidth="1"/>
    <col min="3" max="3" width="21.5703125" style="168" customWidth="1"/>
    <col min="4" max="4" width="11.42578125" style="169" hidden="1" customWidth="1"/>
    <col min="5" max="5" width="9.42578125" style="169" hidden="1" customWidth="1"/>
    <col min="6" max="6" width="10.5703125" style="169" hidden="1" customWidth="1"/>
    <col min="7" max="7" width="9.42578125" style="169" hidden="1" customWidth="1"/>
    <col min="8" max="8" width="15.5703125" style="169" hidden="1" customWidth="1"/>
    <col min="9" max="9" width="19.140625" style="170" hidden="1" customWidth="1"/>
    <col min="10" max="10" width="19.140625" style="163" hidden="1" customWidth="1"/>
    <col min="11" max="11" width="21.42578125" style="172" customWidth="1"/>
    <col min="12" max="12" width="10.140625" style="172" hidden="1" customWidth="1"/>
    <col min="13" max="13" width="9.42578125" style="167" hidden="1" customWidth="1"/>
    <col min="14" max="14" width="10.85546875" style="163" hidden="1" customWidth="1"/>
    <col min="15" max="15" width="11.42578125" style="163" hidden="1" customWidth="1"/>
    <col min="16" max="16" width="10" style="163" hidden="1" customWidth="1"/>
    <col min="17" max="17" width="9.42578125" style="172" hidden="1" customWidth="1"/>
    <col min="18" max="18" width="9.42578125" style="519" hidden="1" customWidth="1"/>
    <col min="19" max="19" width="9" style="172" hidden="1" customWidth="1"/>
    <col min="20" max="20" width="10" style="520" hidden="1" customWidth="1"/>
    <col min="21" max="22" width="10.42578125" style="184" hidden="1" customWidth="1"/>
    <col min="23" max="24" width="10" style="184" hidden="1" customWidth="1"/>
    <col min="25" max="25" width="12.42578125" style="184" hidden="1" customWidth="1"/>
    <col min="26" max="26" width="14.42578125" style="172" hidden="1" customWidth="1"/>
    <col min="27" max="27" width="15.5703125" style="172" customWidth="1"/>
    <col min="28" max="28" width="15.5703125" style="184" hidden="1" customWidth="1"/>
    <col min="29" max="31" width="10" style="184" hidden="1" customWidth="1"/>
    <col min="32" max="35" width="9.85546875" style="172" hidden="1" customWidth="1"/>
    <col min="36" max="36" width="5.5703125" style="163" hidden="1" customWidth="1"/>
    <col min="37" max="37" width="9" style="172" hidden="1" customWidth="1"/>
    <col min="38" max="38" width="14.42578125" style="172" hidden="1" customWidth="1"/>
    <col min="39" max="39" width="10" style="172" hidden="1" customWidth="1"/>
    <col min="40" max="40" width="11.5703125" style="172" hidden="1" customWidth="1"/>
    <col min="41" max="41" width="9" style="163" hidden="1" customWidth="1"/>
    <col min="42" max="42" width="14.42578125" style="184" hidden="1" customWidth="1"/>
    <col min="43" max="43" width="9" style="163" hidden="1" customWidth="1"/>
    <col min="44" max="44" width="12.140625" style="184" hidden="1" customWidth="1"/>
    <col min="45" max="45" width="9" style="163" hidden="1" customWidth="1"/>
    <col min="46" max="46" width="12" style="184" hidden="1" customWidth="1"/>
    <col min="47" max="48" width="10.42578125" style="184" hidden="1" customWidth="1"/>
    <col min="49" max="49" width="11.42578125" style="172" customWidth="1"/>
    <col min="50" max="50" width="12.5703125" style="163" customWidth="1"/>
    <col min="51" max="51" width="13.140625" style="520" hidden="1" customWidth="1"/>
    <col min="52" max="52" width="16.42578125" style="184" customWidth="1"/>
    <col min="53" max="53" width="17.42578125" style="172" customWidth="1"/>
    <col min="54" max="16384" width="9" style="17"/>
  </cols>
  <sheetData>
    <row r="1" spans="1:56" ht="28.5" customHeight="1">
      <c r="A1" s="257" t="s">
        <v>181</v>
      </c>
      <c r="B1" s="257"/>
      <c r="C1" s="92"/>
      <c r="D1" s="92"/>
      <c r="E1" s="92"/>
      <c r="F1" s="92"/>
      <c r="G1" s="92"/>
      <c r="H1" s="92"/>
      <c r="I1" s="93"/>
      <c r="J1" s="101"/>
      <c r="K1" s="171"/>
      <c r="L1" s="171"/>
      <c r="M1" s="101"/>
      <c r="N1" s="101"/>
      <c r="O1" s="101"/>
      <c r="P1" s="101"/>
      <c r="Q1" s="171"/>
      <c r="R1" s="517"/>
      <c r="S1" s="171"/>
      <c r="T1" s="517"/>
      <c r="U1" s="171"/>
      <c r="V1" s="171"/>
      <c r="W1" s="171"/>
      <c r="X1" s="171"/>
      <c r="Y1" s="171"/>
      <c r="Z1" s="171"/>
      <c r="AA1" s="171"/>
      <c r="AB1" s="171"/>
      <c r="AC1" s="171"/>
      <c r="AD1" s="171"/>
      <c r="AE1" s="171"/>
      <c r="AF1" s="171"/>
      <c r="AG1" s="171"/>
      <c r="AH1" s="171"/>
      <c r="AI1" s="171"/>
      <c r="AJ1" s="101"/>
      <c r="AK1" s="171"/>
      <c r="AL1" s="171"/>
      <c r="AM1" s="171"/>
      <c r="AN1" s="171"/>
      <c r="AO1" s="101"/>
      <c r="AP1" s="171"/>
      <c r="AQ1" s="101"/>
      <c r="AR1" s="171"/>
      <c r="AS1" s="101"/>
      <c r="AT1" s="171"/>
      <c r="AU1" s="171"/>
      <c r="AV1" s="171"/>
      <c r="AW1" s="171"/>
      <c r="AX1" s="101"/>
      <c r="AY1" s="517"/>
      <c r="AZ1" s="171"/>
      <c r="BA1" s="171"/>
    </row>
    <row r="2" spans="1:56"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82"/>
      <c r="C2" s="94"/>
      <c r="D2" s="94"/>
      <c r="E2" s="94"/>
      <c r="F2" s="94"/>
      <c r="G2" s="94"/>
      <c r="H2" s="94"/>
      <c r="I2" s="95"/>
      <c r="J2" s="6"/>
      <c r="K2" s="48"/>
      <c r="L2" s="48"/>
      <c r="M2" s="6"/>
      <c r="N2" s="6"/>
      <c r="O2" s="6"/>
      <c r="P2" s="6"/>
      <c r="Q2" s="48"/>
      <c r="R2" s="518"/>
      <c r="S2" s="48"/>
      <c r="T2" s="518"/>
      <c r="U2" s="48"/>
      <c r="V2" s="48"/>
      <c r="W2" s="48"/>
      <c r="X2" s="48"/>
      <c r="Y2" s="48"/>
      <c r="Z2" s="48"/>
      <c r="AA2" s="48"/>
      <c r="AB2" s="48"/>
      <c r="AC2" s="48"/>
      <c r="AD2" s="48"/>
      <c r="AE2" s="48"/>
      <c r="AF2" s="48"/>
      <c r="AG2" s="48"/>
      <c r="AH2" s="48"/>
      <c r="AI2" s="48"/>
      <c r="AJ2" s="6"/>
      <c r="AK2" s="48"/>
      <c r="AL2" s="48"/>
      <c r="AM2" s="48"/>
      <c r="AN2" s="48"/>
      <c r="AO2" s="6"/>
      <c r="AP2" s="48"/>
      <c r="AQ2" s="6"/>
      <c r="AR2" s="48"/>
      <c r="AS2" s="6"/>
      <c r="AT2" s="48"/>
      <c r="AU2" s="48"/>
      <c r="AV2" s="48"/>
      <c r="AW2" s="48"/>
      <c r="AX2" s="6"/>
      <c r="AY2" s="518"/>
      <c r="AZ2" s="48"/>
      <c r="BA2" s="48"/>
    </row>
    <row r="3" spans="1:56" ht="22.15" customHeight="1">
      <c r="A3" s="1019" t="str">
        <f>'Bia-DTTB'!D43&amp;'Bia-DTTB'!E43</f>
        <v>HẠNG MỤC: MẪU NO-01-110-2-TCL</v>
      </c>
      <c r="B3" s="182"/>
      <c r="C3" s="94"/>
      <c r="D3" s="94"/>
      <c r="E3" s="94"/>
      <c r="F3" s="94"/>
      <c r="G3" s="94"/>
      <c r="H3" s="94"/>
      <c r="I3" s="95"/>
      <c r="J3" s="6"/>
      <c r="K3" s="48"/>
      <c r="L3" s="48"/>
      <c r="M3" s="6"/>
      <c r="N3" s="6"/>
      <c r="O3" s="6"/>
      <c r="P3" s="6"/>
      <c r="Q3" s="48"/>
      <c r="R3" s="518"/>
      <c r="S3" s="48"/>
      <c r="T3" s="518"/>
      <c r="U3" s="48"/>
      <c r="V3" s="48"/>
      <c r="W3" s="48"/>
      <c r="X3" s="48"/>
      <c r="Y3" s="48"/>
      <c r="Z3" s="48"/>
      <c r="AA3" s="48"/>
      <c r="AB3" s="48"/>
      <c r="AC3" s="48"/>
      <c r="AD3" s="48"/>
      <c r="AE3" s="48"/>
      <c r="AF3" s="48"/>
      <c r="AG3" s="48"/>
      <c r="AH3" s="48"/>
      <c r="AI3" s="48"/>
      <c r="AJ3" s="6"/>
      <c r="AK3" s="48"/>
      <c r="AL3" s="48"/>
      <c r="AM3" s="48"/>
      <c r="AN3" s="48"/>
      <c r="AO3" s="6"/>
      <c r="AP3" s="48"/>
      <c r="AQ3" s="6"/>
      <c r="AR3" s="48"/>
      <c r="AS3" s="6"/>
      <c r="AT3" s="48"/>
      <c r="AU3" s="48"/>
      <c r="AV3" s="48"/>
      <c r="AW3" s="48"/>
      <c r="AX3" s="6"/>
      <c r="AY3" s="518"/>
      <c r="AZ3" s="48"/>
      <c r="BA3" s="48"/>
    </row>
    <row r="4" spans="1:56" s="4" customFormat="1" ht="13.5" customHeight="1">
      <c r="B4" s="647"/>
      <c r="C4" s="270"/>
      <c r="D4" s="1364" t="s">
        <v>897</v>
      </c>
      <c r="E4" s="1364"/>
      <c r="F4" s="1364"/>
      <c r="G4" s="1364"/>
      <c r="H4" s="1364"/>
      <c r="I4" s="1364"/>
      <c r="J4" s="1364"/>
      <c r="K4" s="1364"/>
      <c r="L4" s="1364"/>
      <c r="M4" s="1365"/>
      <c r="N4" s="1365"/>
      <c r="O4" s="1365"/>
      <c r="P4" s="1365"/>
      <c r="Q4" s="1364"/>
      <c r="R4" s="1366"/>
      <c r="S4" s="1364"/>
      <c r="T4" s="1366"/>
      <c r="U4" s="1364"/>
      <c r="V4" s="1364"/>
      <c r="W4" s="1364"/>
      <c r="X4" s="1364"/>
      <c r="Y4" s="1364"/>
      <c r="Z4" s="1364"/>
      <c r="AA4" s="1364"/>
      <c r="AB4" s="1367" t="s">
        <v>898</v>
      </c>
      <c r="AC4" s="1368"/>
      <c r="AD4" s="1368"/>
      <c r="AE4" s="1368"/>
      <c r="AF4" s="1368"/>
      <c r="AG4" s="1368"/>
      <c r="AH4" s="1368"/>
      <c r="AI4" s="1368"/>
      <c r="AJ4" s="1369"/>
      <c r="AK4" s="1368"/>
      <c r="AL4" s="1368"/>
      <c r="AM4" s="1368"/>
      <c r="AN4" s="1368"/>
      <c r="AO4" s="1369"/>
      <c r="AP4" s="1368"/>
      <c r="AQ4" s="1369"/>
      <c r="AR4" s="1368"/>
      <c r="AS4" s="1369"/>
      <c r="AT4" s="1368"/>
      <c r="AU4" s="1368"/>
      <c r="AV4" s="1368"/>
      <c r="AW4" s="1368"/>
      <c r="AX4" s="1369"/>
      <c r="AY4" s="650"/>
      <c r="AZ4" s="648"/>
      <c r="BA4" s="651" t="s">
        <v>310</v>
      </c>
    </row>
    <row r="5" spans="1:56" ht="15.75" customHeight="1">
      <c r="A5" s="2638" t="s">
        <v>196</v>
      </c>
      <c r="B5" s="2638" t="s">
        <v>135</v>
      </c>
      <c r="C5" s="2638" t="s">
        <v>141</v>
      </c>
      <c r="D5" s="2638" t="s">
        <v>1166</v>
      </c>
      <c r="E5" s="2562" t="s">
        <v>142</v>
      </c>
      <c r="F5" s="2562" t="s">
        <v>1167</v>
      </c>
      <c r="G5" s="2562" t="s">
        <v>928</v>
      </c>
      <c r="H5" s="2576" t="s">
        <v>1169</v>
      </c>
      <c r="I5" s="2562" t="s">
        <v>867</v>
      </c>
      <c r="J5" s="2562" t="s">
        <v>20</v>
      </c>
      <c r="K5" s="2552" t="s">
        <v>619</v>
      </c>
      <c r="L5" s="2562" t="s">
        <v>868</v>
      </c>
      <c r="M5" s="2621" t="s">
        <v>143</v>
      </c>
      <c r="N5" s="2621" t="s">
        <v>144</v>
      </c>
      <c r="O5" s="2560" t="s">
        <v>869</v>
      </c>
      <c r="P5" s="2573" t="s">
        <v>870</v>
      </c>
      <c r="Q5" s="2574"/>
      <c r="R5" s="2574"/>
      <c r="S5" s="2575"/>
      <c r="T5" s="2570" t="s">
        <v>871</v>
      </c>
      <c r="U5" s="2571"/>
      <c r="V5" s="2571"/>
      <c r="W5" s="2572"/>
      <c r="X5" s="2562" t="s">
        <v>900</v>
      </c>
      <c r="Y5" s="2552" t="s">
        <v>872</v>
      </c>
      <c r="Z5" s="2621" t="s">
        <v>873</v>
      </c>
      <c r="AA5" s="2640" t="s">
        <v>622</v>
      </c>
      <c r="AB5" s="2566" t="s">
        <v>1170</v>
      </c>
      <c r="AC5" s="2562" t="s">
        <v>1166</v>
      </c>
      <c r="AD5" s="2554" t="s">
        <v>142</v>
      </c>
      <c r="AE5" s="2562" t="s">
        <v>1168</v>
      </c>
      <c r="AF5" s="2562" t="s">
        <v>928</v>
      </c>
      <c r="AG5" s="2562" t="s">
        <v>874</v>
      </c>
      <c r="AH5" s="2562" t="s">
        <v>875</v>
      </c>
      <c r="AI5" s="2562" t="s">
        <v>876</v>
      </c>
      <c r="AJ5" s="2560" t="s">
        <v>877</v>
      </c>
      <c r="AK5" s="2560" t="s">
        <v>878</v>
      </c>
      <c r="AL5" s="2564" t="s">
        <v>879</v>
      </c>
      <c r="AM5" s="2554" t="s">
        <v>880</v>
      </c>
      <c r="AN5" s="2552" t="s">
        <v>881</v>
      </c>
      <c r="AO5" s="2554" t="s">
        <v>882</v>
      </c>
      <c r="AP5" s="2552" t="s">
        <v>883</v>
      </c>
      <c r="AQ5" s="2554" t="s">
        <v>884</v>
      </c>
      <c r="AR5" s="2552" t="s">
        <v>885</v>
      </c>
      <c r="AS5" s="2560" t="s">
        <v>886</v>
      </c>
      <c r="AT5" s="2552" t="s">
        <v>887</v>
      </c>
      <c r="AU5" s="2560" t="s">
        <v>888</v>
      </c>
      <c r="AV5" s="2552" t="s">
        <v>889</v>
      </c>
      <c r="AW5" s="2552" t="s">
        <v>890</v>
      </c>
      <c r="AX5" s="2552" t="s">
        <v>891</v>
      </c>
      <c r="AY5" s="2556" t="s">
        <v>899</v>
      </c>
      <c r="AZ5" s="2552" t="s">
        <v>892</v>
      </c>
      <c r="BA5" s="2636" t="s">
        <v>682</v>
      </c>
    </row>
    <row r="6" spans="1:56" ht="77.45" customHeight="1">
      <c r="A6" s="2639"/>
      <c r="B6" s="2639" t="s">
        <v>120</v>
      </c>
      <c r="C6" s="2639"/>
      <c r="D6" s="2639"/>
      <c r="E6" s="2563"/>
      <c r="F6" s="2563"/>
      <c r="G6" s="2563"/>
      <c r="H6" s="2577"/>
      <c r="I6" s="2563"/>
      <c r="J6" s="2563"/>
      <c r="K6" s="2553"/>
      <c r="L6" s="2563"/>
      <c r="M6" s="2622"/>
      <c r="N6" s="2622"/>
      <c r="O6" s="2561"/>
      <c r="P6" s="1358" t="s">
        <v>893</v>
      </c>
      <c r="Q6" s="1358" t="s">
        <v>894</v>
      </c>
      <c r="R6" s="1358" t="s">
        <v>929</v>
      </c>
      <c r="S6" s="1358" t="s">
        <v>1005</v>
      </c>
      <c r="T6" s="1357" t="s">
        <v>895</v>
      </c>
      <c r="U6" s="1357" t="s">
        <v>896</v>
      </c>
      <c r="V6" s="1357" t="s">
        <v>930</v>
      </c>
      <c r="W6" s="1358" t="s">
        <v>1006</v>
      </c>
      <c r="X6" s="2563"/>
      <c r="Y6" s="2553"/>
      <c r="Z6" s="2622"/>
      <c r="AA6" s="2641"/>
      <c r="AB6" s="2567"/>
      <c r="AC6" s="2563"/>
      <c r="AD6" s="2555"/>
      <c r="AE6" s="2563"/>
      <c r="AF6" s="2563"/>
      <c r="AG6" s="2563"/>
      <c r="AH6" s="2563"/>
      <c r="AI6" s="2563"/>
      <c r="AJ6" s="2561"/>
      <c r="AK6" s="2561"/>
      <c r="AL6" s="2565"/>
      <c r="AM6" s="2555"/>
      <c r="AN6" s="2553"/>
      <c r="AO6" s="2555"/>
      <c r="AP6" s="2553"/>
      <c r="AQ6" s="2555"/>
      <c r="AR6" s="2553"/>
      <c r="AS6" s="2561"/>
      <c r="AT6" s="2553"/>
      <c r="AU6" s="2561"/>
      <c r="AV6" s="2553"/>
      <c r="AW6" s="2553"/>
      <c r="AX6" s="2553"/>
      <c r="AY6" s="2557"/>
      <c r="AZ6" s="2553"/>
      <c r="BA6" s="2637"/>
      <c r="BD6" s="17" t="s">
        <v>533</v>
      </c>
    </row>
    <row r="7" spans="1:56" s="444" customFormat="1" ht="15.95" customHeight="1">
      <c r="A7" s="1225" t="s">
        <v>273</v>
      </c>
      <c r="B7" s="625"/>
      <c r="C7" s="1224" t="s">
        <v>276</v>
      </c>
      <c r="D7" s="1224" t="s">
        <v>277</v>
      </c>
      <c r="E7" s="1244"/>
      <c r="F7" s="1224"/>
      <c r="G7" s="1224"/>
      <c r="H7" s="1226"/>
      <c r="I7" s="1225"/>
      <c r="J7" s="1225"/>
      <c r="K7" s="1227" t="s">
        <v>278</v>
      </c>
      <c r="L7" s="1227"/>
      <c r="M7" s="1225"/>
      <c r="N7" s="1225"/>
      <c r="O7" s="1236"/>
      <c r="P7" s="1227"/>
      <c r="Q7" s="1225"/>
      <c r="R7" s="1225"/>
      <c r="S7" s="1225"/>
      <c r="T7" s="1226"/>
      <c r="U7" s="1226"/>
      <c r="V7" s="1226"/>
      <c r="W7" s="1225"/>
      <c r="X7" s="1227"/>
      <c r="Y7" s="1004"/>
      <c r="Z7" s="1004"/>
      <c r="AA7" s="1227" t="s">
        <v>279</v>
      </c>
      <c r="AB7" s="1227"/>
      <c r="AC7" s="1224"/>
      <c r="AD7" s="1244"/>
      <c r="AE7" s="1224"/>
      <c r="AF7" s="1224"/>
      <c r="AG7" s="1004"/>
      <c r="AH7" s="911"/>
      <c r="AI7" s="1004"/>
      <c r="AJ7" s="1003"/>
      <c r="AK7" s="1236"/>
      <c r="AL7" s="1191"/>
      <c r="AM7" s="1238"/>
      <c r="AN7" s="1227"/>
      <c r="AO7" s="1238"/>
      <c r="AP7" s="1004"/>
      <c r="AQ7" s="1238"/>
      <c r="AR7" s="1004"/>
      <c r="AS7" s="1003"/>
      <c r="AT7" s="1004"/>
      <c r="AU7" s="1003"/>
      <c r="AV7" s="1004"/>
      <c r="AW7" s="1004" t="s">
        <v>280</v>
      </c>
      <c r="AX7" s="1004" t="s">
        <v>282</v>
      </c>
      <c r="AY7" s="1103"/>
      <c r="AZ7" s="1004" t="s">
        <v>283</v>
      </c>
      <c r="BA7" s="1524" t="s">
        <v>901</v>
      </c>
    </row>
    <row r="8" spans="1:56">
      <c r="E8" s="170"/>
      <c r="F8" s="170"/>
      <c r="G8" s="170"/>
      <c r="H8" s="170"/>
      <c r="I8" s="163"/>
      <c r="J8" s="170"/>
      <c r="U8" s="172"/>
      <c r="V8" s="172"/>
      <c r="W8" s="172"/>
      <c r="X8" s="172"/>
      <c r="Y8" s="172"/>
      <c r="AB8" s="172"/>
      <c r="AC8" s="172"/>
      <c r="AD8" s="172"/>
      <c r="AE8" s="172"/>
      <c r="AF8" s="17"/>
      <c r="AG8" s="17"/>
      <c r="AH8" s="17"/>
      <c r="AI8" s="17"/>
      <c r="AP8" s="172"/>
      <c r="AR8" s="172"/>
      <c r="AS8" s="17"/>
      <c r="AT8" s="172"/>
      <c r="AU8" s="172"/>
      <c r="AV8" s="172"/>
      <c r="AX8" s="172"/>
      <c r="AZ8" s="172"/>
    </row>
  </sheetData>
  <mergeCells count="47">
    <mergeCell ref="AZ5:AZ6"/>
    <mergeCell ref="AU5:AU6"/>
    <mergeCell ref="AV5:AV6"/>
    <mergeCell ref="AW5:AW6"/>
    <mergeCell ref="AX5:AX6"/>
    <mergeCell ref="AY5:AY6"/>
    <mergeCell ref="AP5:AP6"/>
    <mergeCell ref="AQ5:AQ6"/>
    <mergeCell ref="AR5:AR6"/>
    <mergeCell ref="AS5:AS6"/>
    <mergeCell ref="AT5:AT6"/>
    <mergeCell ref="AI5:AI6"/>
    <mergeCell ref="AL5:AL6"/>
    <mergeCell ref="AM5:AM6"/>
    <mergeCell ref="AN5:AN6"/>
    <mergeCell ref="AO5:AO6"/>
    <mergeCell ref="AD5:AD6"/>
    <mergeCell ref="AE5:AE6"/>
    <mergeCell ref="AF5:AF6"/>
    <mergeCell ref="AG5:AG6"/>
    <mergeCell ref="AH5:AH6"/>
    <mergeCell ref="T5:W5"/>
    <mergeCell ref="X5:X6"/>
    <mergeCell ref="Y5:Y6"/>
    <mergeCell ref="AB5:AB6"/>
    <mergeCell ref="AC5:AC6"/>
    <mergeCell ref="F5:F6"/>
    <mergeCell ref="G5:G6"/>
    <mergeCell ref="H5:H6"/>
    <mergeCell ref="L5:L6"/>
    <mergeCell ref="P5:S5"/>
    <mergeCell ref="BA5:BA6"/>
    <mergeCell ref="O5:O6"/>
    <mergeCell ref="I5:I6"/>
    <mergeCell ref="A5:A6"/>
    <mergeCell ref="B5:B6"/>
    <mergeCell ref="C5:C6"/>
    <mergeCell ref="D5:D6"/>
    <mergeCell ref="E5:E6"/>
    <mergeCell ref="J5:J6"/>
    <mergeCell ref="K5:K6"/>
    <mergeCell ref="AA5:AA6"/>
    <mergeCell ref="AJ5:AJ6"/>
    <mergeCell ref="M5:M6"/>
    <mergeCell ref="N5:N6"/>
    <mergeCell ref="Z5:Z6"/>
    <mergeCell ref="AK5:AK6"/>
  </mergeCells>
  <phoneticPr fontId="60" type="noConversion"/>
  <dataValidations count="5">
    <dataValidation allowBlank="1" showInputMessage="1" showErrorMessage="1" prompt="Đổi đơn vị tính cước vận chuyển về phù hợp đơn vị vật liệu" sqref="E5:E6 G5:G6"/>
    <dataValidation allowBlank="1" showInputMessage="1" showErrorMessage="1" sqref="B7"/>
    <dataValidation allowBlank="1" showInputMessage="1" showErrorMessage="1" prompt="Mục V, phần II, Định mức 1784/BXD-VP (trang 181)" sqref="T6 AY6"/>
    <dataValidation allowBlank="1" showInputMessage="1" showErrorMessage="1" prompt="Mục III, phần II, Định mức 1784/BXD-VP (trang 180)" sqref="R6"/>
    <dataValidation allowBlank="1" showInputMessage="1" showErrorMessage="1" prompt="Cần đổi Đơn vị tính theo Định mức vận chuyển phù hợp Đơn vị tính của vật liệu trong định mức công việc cho cùng thứ nguyên." sqref="F5:F6"/>
  </dataValidations>
  <hyperlinks>
    <hyperlink ref="A2" location="'TH&amp;CLVT TB'!A1" tooltip="Về bảng TH và chênh lệch vật tư" display="'TH&amp;CLVT TB'!A1"/>
  </hyperlinks>
  <printOptions horizontalCentered="1"/>
  <pageMargins left="0.59055118110236204" right="0.196850393700787" top="0.59055118110236204" bottom="0.59055118110236204" header="0.23622047244094499" footer="0.23622047244094499"/>
  <pageSetup paperSize="9" orientation="landscape" blackAndWhite="1" horizontalDpi="300" verticalDpi="300" r:id="rId1"/>
  <headerFooter>
    <oddFooter>&amp;C&amp;P</oddFooter>
  </headerFooter>
  <ignoredErrors>
    <ignoredError sqref="A2:A3" unlockedFormula="1"/>
  </ignoredErrors>
  <legacy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NCTB">
    <tabColor rgb="FF339966"/>
  </sheetPr>
  <dimension ref="A1:H7"/>
  <sheetViews>
    <sheetView showZeros="0" zoomScaleSheetLayoutView="100" workbookViewId="0">
      <selection activeCell="B7" sqref="B7"/>
    </sheetView>
  </sheetViews>
  <sheetFormatPr defaultColWidth="9" defaultRowHeight="15.75"/>
  <cols>
    <col min="1" max="1" width="5.42578125" style="838" customWidth="1"/>
    <col min="2" max="2" width="9.5703125" style="839" customWidth="1"/>
    <col min="3" max="3" width="34.42578125" style="1125" customWidth="1"/>
    <col min="4" max="4" width="14.5703125" style="840" customWidth="1"/>
    <col min="5" max="6" width="14.5703125" style="1130" customWidth="1"/>
    <col min="7" max="8" width="21" style="841" customWidth="1"/>
    <col min="9" max="16384" width="9" style="349"/>
  </cols>
  <sheetData>
    <row r="1" spans="1:8" ht="23.25">
      <c r="A1" s="449" t="s">
        <v>380</v>
      </c>
      <c r="B1" s="826"/>
      <c r="C1" s="851"/>
      <c r="D1" s="827"/>
      <c r="E1" s="1126"/>
      <c r="F1" s="1126"/>
      <c r="G1" s="843"/>
      <c r="H1" s="827"/>
    </row>
    <row r="2" spans="1:8" ht="22.15" customHeight="1">
      <c r="A2" s="287"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829"/>
      <c r="C2" s="6"/>
      <c r="D2" s="94"/>
      <c r="E2" s="1127"/>
      <c r="F2" s="1127"/>
      <c r="G2" s="48"/>
      <c r="H2" s="103"/>
    </row>
    <row r="3" spans="1:8" ht="22.15" customHeight="1">
      <c r="A3" s="1019" t="str">
        <f>'Bia-Dutoan'!D43&amp;'Bia-Dutoan'!E43</f>
        <v>CÔNG TRÌNH: NHÀ 01 TẦNG, TƯỜNG CHỊU LỰC 110MM, MÁI LỢP FIBRÔXIMĂNG, KHÔNG CÓ KHU VỆ SINH KHÉP KÍN</v>
      </c>
      <c r="B3" s="829"/>
      <c r="C3" s="6"/>
      <c r="D3" s="94"/>
      <c r="E3" s="1127"/>
      <c r="F3" s="1127"/>
      <c r="G3" s="48"/>
      <c r="H3" s="103"/>
    </row>
    <row r="4" spans="1:8" s="4" customFormat="1">
      <c r="A4" s="830"/>
      <c r="B4" s="25"/>
      <c r="D4" s="22"/>
      <c r="E4" s="1128"/>
      <c r="F4" s="1128"/>
      <c r="G4" s="269"/>
      <c r="H4" s="104"/>
    </row>
    <row r="5" spans="1:8" ht="21.75" customHeight="1">
      <c r="A5" s="2646" t="s">
        <v>196</v>
      </c>
      <c r="B5" s="2646" t="s">
        <v>135</v>
      </c>
      <c r="C5" s="2646" t="s">
        <v>245</v>
      </c>
      <c r="D5" s="2646" t="s">
        <v>782</v>
      </c>
      <c r="E5" s="2644" t="s">
        <v>783</v>
      </c>
      <c r="F5" s="2644" t="s">
        <v>784</v>
      </c>
      <c r="G5" s="2642" t="s">
        <v>789</v>
      </c>
      <c r="H5" s="2642" t="s">
        <v>790</v>
      </c>
    </row>
    <row r="6" spans="1:8" ht="33.6" customHeight="1">
      <c r="A6" s="2647"/>
      <c r="B6" s="2647"/>
      <c r="C6" s="2647"/>
      <c r="D6" s="2647"/>
      <c r="E6" s="2645"/>
      <c r="F6" s="2645"/>
      <c r="G6" s="2643"/>
      <c r="H6" s="2643"/>
    </row>
    <row r="7" spans="1:8" s="30" customFormat="1" ht="12.75">
      <c r="A7" s="831" t="s">
        <v>273</v>
      </c>
      <c r="B7" s="832" t="s">
        <v>402</v>
      </c>
      <c r="C7" s="832" t="s">
        <v>403</v>
      </c>
      <c r="D7" s="833" t="s">
        <v>276</v>
      </c>
      <c r="E7" s="1129" t="s">
        <v>277</v>
      </c>
      <c r="F7" s="1129" t="s">
        <v>785</v>
      </c>
      <c r="G7" s="835" t="s">
        <v>278</v>
      </c>
      <c r="H7" s="834" t="s">
        <v>787</v>
      </c>
    </row>
  </sheetData>
  <mergeCells count="8">
    <mergeCell ref="H5:H6"/>
    <mergeCell ref="G5:G6"/>
    <mergeCell ref="F5:F6"/>
    <mergeCell ref="A5:A6"/>
    <mergeCell ref="B5:B6"/>
    <mergeCell ref="D5:D6"/>
    <mergeCell ref="E5:E6"/>
    <mergeCell ref="C5:C6"/>
  </mergeCells>
  <phoneticPr fontId="60" type="noConversion"/>
  <dataValidations disablePrompts="1" count="1">
    <dataValidation allowBlank="1" showInputMessage="1" showErrorMessage="1" sqref="B7"/>
  </dataValidations>
  <printOptions horizontalCentered="1"/>
  <pageMargins left="0.78740157480314998" right="0.39370078740157499" top="0.59055118110236204" bottom="0.59055118110236204" header="0.23622047244094499" footer="0.23622047244094499"/>
  <pageSetup paperSize="9" orientation="portrait" blackAndWhite="1" horizontalDpi="300" verticalDpi="300" r:id="rId1"/>
  <headerFooter>
    <oddFooter>&amp;C&amp;P</oddFooter>
  </headerFooter>
  <ignoredErrors>
    <ignoredError sqref="A2:A3" unlockedFormula="1"/>
  </ignoredError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GCMTB">
    <tabColor rgb="FF339966"/>
  </sheetPr>
  <dimension ref="A1:AN8"/>
  <sheetViews>
    <sheetView showZeros="0" zoomScaleSheetLayoutView="100" workbookViewId="0">
      <selection activeCell="M1" sqref="M1:N1048576"/>
    </sheetView>
  </sheetViews>
  <sheetFormatPr defaultColWidth="9" defaultRowHeight="15.75"/>
  <cols>
    <col min="1" max="1" width="5.85546875" style="501" customWidth="1"/>
    <col min="2" max="2" width="14.5703125" style="501" customWidth="1"/>
    <col min="3" max="3" width="17.5703125" style="497" customWidth="1"/>
    <col min="4" max="4" width="6.5703125" style="501" customWidth="1"/>
    <col min="5" max="5" width="6.42578125" style="503" hidden="1" customWidth="1"/>
    <col min="6" max="6" width="6.140625" style="501" customWidth="1"/>
    <col min="7" max="7" width="6.140625" style="885" customWidth="1"/>
    <col min="8" max="8" width="5.42578125" style="501" customWidth="1"/>
    <col min="9" max="9" width="5.85546875" style="501" customWidth="1"/>
    <col min="10" max="10" width="6" style="507" customWidth="1"/>
    <col min="11" max="11" width="7.42578125" style="505" customWidth="1"/>
    <col min="12" max="12" width="8.140625" style="501" customWidth="1"/>
    <col min="13" max="13" width="6.42578125" style="469" hidden="1" customWidth="1"/>
    <col min="14" max="14" width="9.140625" style="469" hidden="1" customWidth="1"/>
    <col min="15" max="15" width="14.5703125" style="516" customWidth="1"/>
    <col min="16" max="16" width="13.140625" style="469" customWidth="1"/>
    <col min="17" max="21" width="10.5703125" style="469" customWidth="1"/>
    <col min="22" max="22" width="11.140625" style="469" customWidth="1"/>
    <col min="23" max="30" width="9.140625" style="487" hidden="1" customWidth="1"/>
    <col min="31" max="32" width="8.5703125" style="487" hidden="1" customWidth="1"/>
    <col min="33" max="36" width="9.140625" style="487" hidden="1" customWidth="1"/>
    <col min="37" max="37" width="18.140625" style="193" hidden="1" customWidth="1"/>
    <col min="38" max="40" width="12.85546875" style="193" hidden="1" customWidth="1"/>
    <col min="41" max="16384" width="9" style="193"/>
  </cols>
  <sheetData>
    <row r="1" spans="1:40" customFormat="1" ht="22.5">
      <c r="A1" s="449" t="s">
        <v>184</v>
      </c>
      <c r="B1" s="450"/>
      <c r="C1" s="451"/>
      <c r="D1" s="449"/>
      <c r="E1" s="502"/>
      <c r="F1" s="449"/>
      <c r="G1" s="880"/>
      <c r="H1" s="449"/>
      <c r="I1" s="449"/>
      <c r="J1" s="453"/>
      <c r="K1" s="452"/>
      <c r="L1" s="449"/>
      <c r="M1" s="453"/>
      <c r="N1" s="453"/>
      <c r="O1" s="513"/>
      <c r="P1" s="453"/>
      <c r="Q1" s="453"/>
      <c r="R1" s="453"/>
      <c r="S1" s="453"/>
      <c r="T1" s="453"/>
      <c r="U1" s="453"/>
      <c r="V1" s="453"/>
      <c r="W1" s="453"/>
      <c r="X1" s="453"/>
      <c r="Y1" s="453"/>
      <c r="Z1" s="453"/>
      <c r="AA1" s="453"/>
      <c r="AB1" s="453"/>
      <c r="AC1" s="453"/>
      <c r="AD1" s="453"/>
      <c r="AE1" s="453"/>
      <c r="AF1" s="453"/>
      <c r="AG1" s="453"/>
      <c r="AH1" s="453"/>
      <c r="AI1" s="453"/>
      <c r="AJ1" s="453"/>
      <c r="AK1" s="259"/>
      <c r="AL1" s="203" t="s">
        <v>253</v>
      </c>
      <c r="AM1" s="212" t="s">
        <v>586</v>
      </c>
      <c r="AN1" s="212" t="s">
        <v>254</v>
      </c>
    </row>
    <row r="2" spans="1:40" customFormat="1" ht="22.15" customHeight="1">
      <c r="A2" s="8"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451"/>
      <c r="C2" s="451"/>
      <c r="D2" s="454"/>
      <c r="E2" s="502"/>
      <c r="F2" s="449"/>
      <c r="G2" s="880"/>
      <c r="H2" s="449"/>
      <c r="I2" s="449"/>
      <c r="J2" s="453"/>
      <c r="K2" s="452"/>
      <c r="L2" s="449"/>
      <c r="M2" s="453"/>
      <c r="N2" s="453"/>
      <c r="O2" s="513"/>
      <c r="P2" s="453"/>
      <c r="Q2" s="453"/>
      <c r="R2" s="453"/>
      <c r="S2" s="453"/>
      <c r="T2" s="453"/>
      <c r="U2" s="453"/>
      <c r="V2" s="453"/>
      <c r="W2" s="453"/>
      <c r="X2" s="453"/>
      <c r="Y2" s="453"/>
      <c r="Z2" s="453"/>
      <c r="AA2" s="453"/>
      <c r="AB2" s="453"/>
      <c r="AC2" s="453"/>
      <c r="AD2" s="453"/>
      <c r="AE2" s="453"/>
      <c r="AF2" s="453"/>
      <c r="AG2" s="453"/>
      <c r="AH2" s="453"/>
      <c r="AI2" s="453"/>
      <c r="AJ2" s="453"/>
      <c r="AK2" s="201" t="s">
        <v>493</v>
      </c>
      <c r="AL2" s="202">
        <v>19909</v>
      </c>
      <c r="AM2" s="202">
        <v>19545</v>
      </c>
      <c r="AN2" s="202">
        <v>1622.01</v>
      </c>
    </row>
    <row r="3" spans="1:40" customFormat="1" ht="22.15" customHeight="1">
      <c r="A3" s="1019" t="str">
        <f>'Bia-DTTB'!D43&amp;'Bia-DTTB'!E43</f>
        <v>HẠNG MỤC: MẪU NO-01-110-2-TCL</v>
      </c>
      <c r="B3" s="187"/>
      <c r="C3" s="190"/>
      <c r="D3" s="109"/>
      <c r="E3" s="481"/>
      <c r="F3" s="109"/>
      <c r="G3" s="881"/>
      <c r="H3" s="109"/>
      <c r="I3" s="109"/>
      <c r="J3" s="160"/>
      <c r="K3" s="110"/>
      <c r="L3" s="109"/>
      <c r="M3" s="160"/>
      <c r="N3" s="160"/>
      <c r="O3" s="514"/>
      <c r="P3" s="160"/>
      <c r="Q3" s="160"/>
      <c r="R3" s="160"/>
      <c r="S3" s="160"/>
      <c r="T3" s="160"/>
      <c r="U3" s="160"/>
      <c r="V3" s="160"/>
      <c r="W3" s="160"/>
      <c r="X3" s="160"/>
      <c r="Y3" s="160"/>
      <c r="Z3" s="160"/>
      <c r="AA3" s="160"/>
      <c r="AB3" s="160"/>
      <c r="AC3" s="160"/>
      <c r="AD3" s="160"/>
      <c r="AE3" s="160"/>
      <c r="AF3" s="160"/>
      <c r="AG3" s="160"/>
      <c r="AH3" s="160"/>
      <c r="AI3" s="160"/>
      <c r="AJ3" s="160"/>
      <c r="AK3" s="201" t="s">
        <v>494</v>
      </c>
      <c r="AL3" s="202">
        <f>xang</f>
        <v>18290.909090909088</v>
      </c>
      <c r="AM3" s="202">
        <f>diezel</f>
        <v>16981.81818181818</v>
      </c>
      <c r="AN3" s="202">
        <f>dien</f>
        <v>1896</v>
      </c>
    </row>
    <row r="4" spans="1:40" customFormat="1" ht="18.75">
      <c r="A4" s="111"/>
      <c r="B4" s="188"/>
      <c r="C4" s="191"/>
      <c r="D4" s="111"/>
      <c r="E4" s="482"/>
      <c r="F4" s="111"/>
      <c r="G4" s="882"/>
      <c r="H4" s="111"/>
      <c r="I4" s="111"/>
      <c r="J4" s="506"/>
      <c r="K4" s="504"/>
      <c r="L4" s="111"/>
      <c r="M4" s="161"/>
      <c r="N4" s="161"/>
      <c r="O4" s="515"/>
      <c r="P4" s="161"/>
      <c r="Q4" s="161"/>
      <c r="R4" s="161"/>
      <c r="S4" s="161"/>
      <c r="T4" s="161"/>
      <c r="U4" s="161"/>
      <c r="V4" s="162" t="s">
        <v>310</v>
      </c>
      <c r="W4" s="498"/>
      <c r="X4" s="498"/>
      <c r="Y4" s="498"/>
      <c r="Z4" s="498"/>
      <c r="AA4" s="498"/>
      <c r="AB4" s="498"/>
      <c r="AC4" s="498"/>
      <c r="AD4" s="498"/>
      <c r="AE4" s="498"/>
      <c r="AF4" s="498"/>
      <c r="AG4" s="498"/>
      <c r="AH4" s="498"/>
      <c r="AI4" s="498"/>
      <c r="AJ4" s="498"/>
      <c r="AK4" s="201" t="s">
        <v>492</v>
      </c>
      <c r="AL4" s="202">
        <f>AL3-AL2</f>
        <v>-1618.0909090909117</v>
      </c>
      <c r="AM4" s="202">
        <f>AM3-AM2</f>
        <v>-2563.1818181818198</v>
      </c>
      <c r="AN4" s="202">
        <f>AN3-AN2</f>
        <v>273.99</v>
      </c>
    </row>
    <row r="5" spans="1:40" customFormat="1" ht="43.5" customHeight="1">
      <c r="A5" s="2663" t="s">
        <v>196</v>
      </c>
      <c r="B5" s="2663" t="s">
        <v>135</v>
      </c>
      <c r="C5" s="2663" t="s">
        <v>236</v>
      </c>
      <c r="D5" s="2663" t="s">
        <v>237</v>
      </c>
      <c r="E5" s="2668" t="s">
        <v>478</v>
      </c>
      <c r="F5" s="2665" t="s">
        <v>233</v>
      </c>
      <c r="G5" s="2666"/>
      <c r="H5" s="2666"/>
      <c r="I5" s="2667"/>
      <c r="J5" s="2670" t="s">
        <v>624</v>
      </c>
      <c r="K5" s="2671"/>
      <c r="L5" s="2629" t="s">
        <v>241</v>
      </c>
      <c r="M5" s="2663" t="s">
        <v>479</v>
      </c>
      <c r="N5" s="2663" t="s">
        <v>480</v>
      </c>
      <c r="O5" s="2663" t="s">
        <v>238</v>
      </c>
      <c r="P5" s="2663" t="s">
        <v>235</v>
      </c>
      <c r="Q5" s="2655" t="s">
        <v>676</v>
      </c>
      <c r="R5" s="2655" t="s">
        <v>677</v>
      </c>
      <c r="S5" s="2655" t="s">
        <v>678</v>
      </c>
      <c r="T5" s="2655" t="s">
        <v>679</v>
      </c>
      <c r="U5" s="2655" t="s">
        <v>680</v>
      </c>
      <c r="V5" s="2653" t="s">
        <v>681</v>
      </c>
      <c r="W5" s="2648"/>
      <c r="X5" s="2649"/>
      <c r="Y5" s="2650"/>
      <c r="Z5" s="2651" t="s">
        <v>243</v>
      </c>
      <c r="AA5" s="2651" t="s">
        <v>239</v>
      </c>
      <c r="AB5" s="2657"/>
      <c r="AC5" s="2657"/>
      <c r="AD5" s="2661" t="s">
        <v>151</v>
      </c>
      <c r="AE5" s="2657" t="s">
        <v>240</v>
      </c>
      <c r="AF5" s="2657" t="s">
        <v>242</v>
      </c>
      <c r="AG5" s="2657"/>
      <c r="AH5" s="2657"/>
      <c r="AI5" s="2657"/>
      <c r="AJ5" s="2659" t="s">
        <v>244</v>
      </c>
      <c r="AK5" s="193"/>
      <c r="AL5" s="193"/>
      <c r="AM5" s="193"/>
      <c r="AN5" s="193"/>
    </row>
    <row r="6" spans="1:40" customFormat="1" ht="47.25">
      <c r="A6" s="2664"/>
      <c r="B6" s="2664"/>
      <c r="C6" s="2664"/>
      <c r="D6" s="2664"/>
      <c r="E6" s="2669"/>
      <c r="F6" s="1032" t="s">
        <v>148</v>
      </c>
      <c r="G6" s="1033" t="s">
        <v>626</v>
      </c>
      <c r="H6" s="1032" t="s">
        <v>149</v>
      </c>
      <c r="I6" s="1032" t="s">
        <v>234</v>
      </c>
      <c r="J6" s="2672"/>
      <c r="K6" s="2673"/>
      <c r="L6" s="2630"/>
      <c r="M6" s="2664"/>
      <c r="N6" s="2664"/>
      <c r="O6" s="2664"/>
      <c r="P6" s="2664"/>
      <c r="Q6" s="2656"/>
      <c r="R6" s="2656"/>
      <c r="S6" s="2656"/>
      <c r="T6" s="2656"/>
      <c r="U6" s="2656"/>
      <c r="V6" s="2654"/>
      <c r="W6" s="499"/>
      <c r="X6" s="499"/>
      <c r="Y6" s="499"/>
      <c r="Z6" s="2652"/>
      <c r="AA6" s="2652"/>
      <c r="AB6" s="2658"/>
      <c r="AC6" s="2658"/>
      <c r="AD6" s="2662"/>
      <c r="AE6" s="2658"/>
      <c r="AF6" s="2658"/>
      <c r="AG6" s="2658"/>
      <c r="AH6" s="2658"/>
      <c r="AI6" s="2658"/>
      <c r="AJ6" s="2660"/>
      <c r="AK6" s="112"/>
    </row>
    <row r="7" spans="1:40" s="456" customFormat="1" ht="12.75">
      <c r="A7" s="441" t="s">
        <v>273</v>
      </c>
      <c r="B7" s="442" t="s">
        <v>276</v>
      </c>
      <c r="C7" s="442" t="s">
        <v>277</v>
      </c>
      <c r="D7" s="441" t="s">
        <v>278</v>
      </c>
      <c r="E7" s="483"/>
      <c r="F7" s="441" t="s">
        <v>279</v>
      </c>
      <c r="G7" s="883" t="s">
        <v>280</v>
      </c>
      <c r="H7" s="441" t="s">
        <v>282</v>
      </c>
      <c r="I7" s="441" t="s">
        <v>283</v>
      </c>
      <c r="J7" s="446" t="s">
        <v>288</v>
      </c>
      <c r="K7" s="446"/>
      <c r="L7" s="441" t="s">
        <v>292</v>
      </c>
      <c r="M7" s="441"/>
      <c r="N7" s="441"/>
      <c r="O7" s="442" t="s">
        <v>293</v>
      </c>
      <c r="P7" s="447" t="s">
        <v>294</v>
      </c>
      <c r="Q7" s="447" t="s">
        <v>295</v>
      </c>
      <c r="R7" s="447" t="s">
        <v>296</v>
      </c>
      <c r="S7" s="447" t="s">
        <v>297</v>
      </c>
      <c r="T7" s="447" t="s">
        <v>298</v>
      </c>
      <c r="U7" s="447" t="s">
        <v>299</v>
      </c>
      <c r="V7" s="447" t="s">
        <v>300</v>
      </c>
      <c r="W7" s="490"/>
      <c r="X7" s="490"/>
      <c r="Y7" s="490"/>
      <c r="Z7" s="500" t="s">
        <v>288</v>
      </c>
      <c r="AA7" s="490" t="s">
        <v>292</v>
      </c>
      <c r="AB7" s="490"/>
      <c r="AC7" s="490"/>
      <c r="AD7" s="490" t="s">
        <v>294</v>
      </c>
      <c r="AE7" s="490" t="s">
        <v>295</v>
      </c>
      <c r="AF7" s="490" t="s">
        <v>296</v>
      </c>
      <c r="AG7" s="490"/>
      <c r="AH7" s="490"/>
      <c r="AI7" s="490"/>
      <c r="AJ7" s="490" t="s">
        <v>300</v>
      </c>
    </row>
    <row r="8" spans="1:40" ht="15.75" customHeight="1">
      <c r="A8" s="194"/>
      <c r="B8" s="194"/>
      <c r="C8" s="467"/>
      <c r="D8" s="194"/>
      <c r="E8" s="484"/>
      <c r="F8" s="194"/>
      <c r="G8" s="884"/>
      <c r="H8" s="194"/>
      <c r="I8" s="194"/>
      <c r="J8" s="493"/>
      <c r="K8" s="496"/>
      <c r="L8" s="194"/>
      <c r="M8" s="195"/>
      <c r="N8" s="468"/>
      <c r="O8" s="511"/>
      <c r="P8" s="487"/>
      <c r="Q8" s="487"/>
      <c r="R8" s="487"/>
      <c r="S8" s="487"/>
      <c r="T8" s="487"/>
      <c r="U8" s="487"/>
      <c r="V8" s="487"/>
      <c r="AK8" s="475"/>
    </row>
  </sheetData>
  <mergeCells count="30">
    <mergeCell ref="T5:T6"/>
    <mergeCell ref="E5:E6"/>
    <mergeCell ref="M5:M6"/>
    <mergeCell ref="N5:N6"/>
    <mergeCell ref="R5:R6"/>
    <mergeCell ref="S5:S6"/>
    <mergeCell ref="L5:L6"/>
    <mergeCell ref="O5:O6"/>
    <mergeCell ref="P5:P6"/>
    <mergeCell ref="Q5:Q6"/>
    <mergeCell ref="J5:K6"/>
    <mergeCell ref="A5:A6"/>
    <mergeCell ref="B5:B6"/>
    <mergeCell ref="C5:C6"/>
    <mergeCell ref="D5:D6"/>
    <mergeCell ref="F5:I5"/>
    <mergeCell ref="AB5:AB6"/>
    <mergeCell ref="AI5:AI6"/>
    <mergeCell ref="AC5:AC6"/>
    <mergeCell ref="AJ5:AJ6"/>
    <mergeCell ref="AD5:AD6"/>
    <mergeCell ref="AE5:AE6"/>
    <mergeCell ref="AF5:AF6"/>
    <mergeCell ref="AG5:AG6"/>
    <mergeCell ref="AH5:AH6"/>
    <mergeCell ref="W5:Y5"/>
    <mergeCell ref="Z5:Z6"/>
    <mergeCell ref="AA5:AA6"/>
    <mergeCell ref="V5:V6"/>
    <mergeCell ref="U5:U6"/>
  </mergeCells>
  <phoneticPr fontId="60" type="noConversion"/>
  <conditionalFormatting sqref="X7">
    <cfRule type="cellIs" dxfId="1" priority="1" stopIfTrue="1" operator="greaterThan">
      <formula>W7</formula>
    </cfRule>
    <cfRule type="cellIs" dxfId="0" priority="2" stopIfTrue="1" operator="lessThan">
      <formula>W7</formula>
    </cfRule>
  </conditionalFormatting>
  <dataValidations count="4">
    <dataValidation allowBlank="1" showInputMessage="1" showErrorMessage="1" prompt="Giá nhiên liệu ở thời điểm hiện tại để tính giá ca máy mới và tính bù giá ca máy." sqref="AK2:AK4"/>
    <dataValidation allowBlank="1" showInputMessage="1" showErrorMessage="1" sqref="B7"/>
    <dataValidation allowBlank="1" showInputMessage="1" showErrorMessage="1" prompt="Có thể tra máy theo mã vật tư hoặc từ khóa trong tên máy ở đây" sqref="B9:B65536"/>
    <dataValidation allowBlank="1" showErrorMessage="1" sqref="AL3:AN3 AL4:AN4"/>
  </dataValidations>
  <printOptions horizontalCentered="1"/>
  <pageMargins left="0.74803149606299202" right="0.23622047244094499" top="0.511811023622047" bottom="0.511811023622047" header="0.23622047244094499" footer="0.23622047244094499"/>
  <pageSetup paperSize="9" scale="84" orientation="landscape" blackAndWhite="1" horizontalDpi="300" verticalDpi="300" r:id="rId1"/>
  <headerFooter>
    <oddHeader>&amp;L&amp;"+,nghiêng"&amp;10Dự toán GXD - www.giaxaydung.vn</oddHeader>
    <oddFooter>&amp;C&amp;P</oddFooter>
  </headerFooter>
  <ignoredErrors>
    <ignoredError sqref="A2:A3" unlockedFormula="1"/>
  </ignoredErrors>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DTTB">
    <tabColor rgb="FF00B050"/>
  </sheetPr>
  <dimension ref="A1:V7"/>
  <sheetViews>
    <sheetView zoomScaleSheetLayoutView="100" workbookViewId="0">
      <selection activeCell="B7" sqref="B7"/>
    </sheetView>
  </sheetViews>
  <sheetFormatPr defaultColWidth="9" defaultRowHeight="15.75"/>
  <cols>
    <col min="1" max="1" width="4.42578125" style="25" customWidth="1"/>
    <col min="2" max="2" width="10.5703125" style="22" customWidth="1"/>
    <col min="3" max="3" width="32.5703125" style="22" customWidth="1"/>
    <col min="4" max="4" width="6.5703125" style="97" customWidth="1"/>
    <col min="5" max="5" width="11" style="158" customWidth="1"/>
    <col min="6" max="6" width="12.42578125" style="184" customWidth="1"/>
    <col min="7" max="7" width="15.42578125" style="184" customWidth="1"/>
    <col min="8" max="19" width="9" style="98" hidden="1" customWidth="1"/>
    <col min="20" max="22" width="0" style="17" hidden="1" customWidth="1"/>
    <col min="23" max="16384" width="9" style="17"/>
  </cols>
  <sheetData>
    <row r="1" spans="1:22" ht="27.95" customHeight="1">
      <c r="A1" s="257" t="s">
        <v>185</v>
      </c>
      <c r="B1" s="257"/>
      <c r="C1" s="92"/>
      <c r="D1" s="92"/>
      <c r="E1" s="253"/>
      <c r="F1" s="171"/>
      <c r="G1" s="171"/>
      <c r="V1" s="257"/>
    </row>
    <row r="2" spans="1:22"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00"/>
      <c r="C2" s="94"/>
      <c r="D2" s="94"/>
      <c r="E2" s="254"/>
      <c r="F2" s="48"/>
      <c r="G2" s="48"/>
    </row>
    <row r="3" spans="1:22" ht="22.15" customHeight="1">
      <c r="A3" s="1019" t="str">
        <f>'Bia-DTTB'!D43&amp;'Bia-DTTB'!E43</f>
        <v>HẠNG MỤC: MẪU NO-01-110-2-TCL</v>
      </c>
      <c r="B3" s="100"/>
      <c r="C3" s="94"/>
      <c r="D3" s="94"/>
      <c r="E3" s="254"/>
      <c r="F3" s="48"/>
      <c r="G3" s="48"/>
    </row>
    <row r="4" spans="1:22">
      <c r="A4" s="17"/>
      <c r="B4" s="96"/>
    </row>
    <row r="5" spans="1:22" s="114" customFormat="1" ht="31.5">
      <c r="A5" s="210" t="s">
        <v>196</v>
      </c>
      <c r="B5" s="1031" t="s">
        <v>120</v>
      </c>
      <c r="C5" s="1032" t="s">
        <v>121</v>
      </c>
      <c r="D5" s="1032" t="s">
        <v>122</v>
      </c>
      <c r="E5" s="1034" t="s">
        <v>136</v>
      </c>
      <c r="F5" s="609" t="s">
        <v>123</v>
      </c>
      <c r="G5" s="609" t="s">
        <v>124</v>
      </c>
      <c r="H5" s="153" t="s">
        <v>265</v>
      </c>
      <c r="I5" s="153" t="s">
        <v>268</v>
      </c>
      <c r="J5" s="153" t="s">
        <v>266</v>
      </c>
      <c r="K5" s="153" t="s">
        <v>267</v>
      </c>
      <c r="L5" s="98"/>
      <c r="M5" s="98"/>
      <c r="N5" s="98"/>
      <c r="O5" s="98"/>
      <c r="P5" s="98"/>
      <c r="Q5" s="98"/>
      <c r="R5" s="98"/>
      <c r="S5" s="98"/>
    </row>
    <row r="6" spans="1:22" s="30" customFormat="1">
      <c r="A6" s="1006" t="s">
        <v>273</v>
      </c>
      <c r="B6" s="1006" t="s">
        <v>276</v>
      </c>
      <c r="C6" s="1006" t="s">
        <v>277</v>
      </c>
      <c r="D6" s="1006" t="s">
        <v>278</v>
      </c>
      <c r="E6" s="1007" t="s">
        <v>279</v>
      </c>
      <c r="F6" s="1008" t="s">
        <v>280</v>
      </c>
      <c r="G6" s="1008" t="s">
        <v>303</v>
      </c>
      <c r="H6" s="98"/>
      <c r="I6" s="98"/>
      <c r="J6" s="98"/>
      <c r="K6" s="98"/>
      <c r="L6" s="98"/>
      <c r="M6" s="98"/>
      <c r="N6" s="98"/>
      <c r="O6" s="98"/>
      <c r="P6" s="98"/>
      <c r="Q6" s="98"/>
      <c r="R6" s="98"/>
      <c r="S6" s="98"/>
      <c r="T6" s="17"/>
    </row>
    <row r="7" spans="1:22"/>
  </sheetData>
  <phoneticPr fontId="60" type="noConversion"/>
  <dataValidations count="1">
    <dataValidation allowBlank="1" showInputMessage="1" showErrorMessage="1" sqref="B6"/>
  </dataValidations>
  <printOptions horizontalCentered="1"/>
  <pageMargins left="0.39370078740157499" right="0.196850393700787" top="0.59055118110236204" bottom="0.59055118110236204" header="0.31496062992126" footer="0.31496062992126"/>
  <pageSetup paperSize="9" orientation="portrait" blackAndWhite="1" horizontalDpi="300" verticalDpi="300" r:id="rId1"/>
  <headerFooter>
    <oddFooter>&amp;C&amp;P</oddFooter>
  </headerFooter>
  <ignoredErrors>
    <ignoredError sqref="A2:A3" unlockedFormula="1"/>
  </ignoredErrors>
  <legacy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DTDTTB1">
    <tabColor rgb="FFFFC000"/>
  </sheetPr>
  <dimension ref="A1:N7"/>
  <sheetViews>
    <sheetView zoomScaleSheetLayoutView="100" workbookViewId="0">
      <selection activeCell="B7" sqref="B7"/>
    </sheetView>
  </sheetViews>
  <sheetFormatPr defaultColWidth="9" defaultRowHeight="15.75"/>
  <cols>
    <col min="1" max="1" width="4.42578125" style="25" customWidth="1"/>
    <col min="2" max="2" width="10.5703125" style="22" customWidth="1"/>
    <col min="3" max="3" width="32.5703125" style="22" customWidth="1"/>
    <col min="4" max="4" width="6.5703125" style="97" customWidth="1"/>
    <col min="5" max="5" width="11" style="158" customWidth="1"/>
    <col min="6" max="6" width="12.42578125" style="184" customWidth="1"/>
    <col min="7" max="7" width="15.42578125" style="184" customWidth="1"/>
    <col min="8" max="8" width="6.5703125" style="17" customWidth="1"/>
    <col min="9" max="9" width="15.42578125" style="17" customWidth="1"/>
    <col min="10" max="10" width="11.42578125" style="17" customWidth="1"/>
    <col min="11" max="13" width="15.42578125" style="184" customWidth="1"/>
    <col min="14" max="14" width="18.42578125" style="17" customWidth="1"/>
    <col min="15" max="16384" width="9" style="17"/>
  </cols>
  <sheetData>
    <row r="1" spans="1:14" ht="27.95" customHeight="1">
      <c r="A1" s="257" t="s">
        <v>185</v>
      </c>
      <c r="B1" s="257"/>
      <c r="C1" s="92"/>
      <c r="D1" s="92"/>
      <c r="E1" s="253"/>
      <c r="F1" s="171"/>
      <c r="G1" s="171"/>
      <c r="H1" s="171"/>
      <c r="I1" s="171"/>
      <c r="J1" s="171"/>
      <c r="K1" s="171"/>
      <c r="L1" s="171"/>
      <c r="M1" s="171"/>
      <c r="N1" s="171"/>
    </row>
    <row r="2" spans="1:14" ht="22.15" customHeight="1">
      <c r="A2" s="1019" t="str">
        <f>'Bia-Dutoan'!D42&amp;'Bia-Dutoan'!E42</f>
        <v>DỰ ÁN: ĐIỀU CHỈNH, BỔ SUNG, ĐƠN GIÁ XÂY DỰNG CỦA MỘT SỐ LOẠI CÔNG TRÌNH ĐỂ XÁC ĐỊNH GIÁ TRỊ BỒI
THƯỜNG ĐỐI VỚI NHÀ Ở, CÔNG TRÌNH PHẢI THÁO DỠ KHI NHÀ NƯỚC THU HỒI ĐẤT TRÊN ĐỊA BÀN TỈNH SƠN LA</v>
      </c>
      <c r="B2" s="100"/>
      <c r="C2" s="94"/>
      <c r="D2" s="94"/>
      <c r="E2" s="254"/>
      <c r="F2" s="48"/>
      <c r="G2" s="48"/>
      <c r="H2" s="48"/>
      <c r="I2" s="48"/>
      <c r="J2" s="48"/>
      <c r="K2" s="48"/>
      <c r="L2" s="48"/>
      <c r="M2" s="48"/>
      <c r="N2" s="48"/>
    </row>
    <row r="3" spans="1:14" ht="22.15" customHeight="1">
      <c r="A3" s="1019" t="str">
        <f>'Bia-DTTB'!D43&amp;'Bia-DTTB'!E43</f>
        <v>HẠNG MỤC: MẪU NO-01-110-2-TCL</v>
      </c>
      <c r="B3" s="100"/>
      <c r="C3" s="94"/>
      <c r="D3" s="94"/>
      <c r="E3" s="254"/>
      <c r="F3" s="48"/>
      <c r="G3" s="48"/>
      <c r="H3" s="48"/>
      <c r="I3" s="48"/>
      <c r="J3" s="48"/>
      <c r="K3" s="48"/>
      <c r="L3" s="48"/>
      <c r="M3" s="48"/>
      <c r="N3" s="48"/>
    </row>
    <row r="4" spans="1:14">
      <c r="A4" s="17"/>
      <c r="B4" s="96"/>
      <c r="H4" s="1371" t="s">
        <v>1193</v>
      </c>
      <c r="I4" s="1371"/>
      <c r="J4" s="1371"/>
      <c r="K4" s="1371"/>
      <c r="L4" s="1371"/>
      <c r="M4" s="1371"/>
      <c r="N4" s="1371"/>
    </row>
    <row r="5" spans="1:14" s="114" customFormat="1" ht="47.25">
      <c r="A5" s="210" t="s">
        <v>196</v>
      </c>
      <c r="B5" s="1031" t="s">
        <v>120</v>
      </c>
      <c r="C5" s="1032" t="s">
        <v>121</v>
      </c>
      <c r="D5" s="1032" t="s">
        <v>122</v>
      </c>
      <c r="E5" s="1034" t="s">
        <v>136</v>
      </c>
      <c r="F5" s="609" t="s">
        <v>123</v>
      </c>
      <c r="G5" s="609" t="s">
        <v>124</v>
      </c>
      <c r="H5" s="1373" t="s">
        <v>196</v>
      </c>
      <c r="I5" s="1373" t="s">
        <v>1182</v>
      </c>
      <c r="J5" s="1373" t="s">
        <v>1183</v>
      </c>
      <c r="K5" s="1373" t="s">
        <v>1184</v>
      </c>
      <c r="L5" s="1373" t="s">
        <v>1185</v>
      </c>
      <c r="M5" s="1373" t="s">
        <v>1186</v>
      </c>
      <c r="N5" s="1373" t="s">
        <v>1187</v>
      </c>
    </row>
    <row r="6" spans="1:14" s="30" customFormat="1">
      <c r="A6" s="1006" t="s">
        <v>273</v>
      </c>
      <c r="B6" s="1006" t="s">
        <v>276</v>
      </c>
      <c r="C6" s="1006" t="s">
        <v>277</v>
      </c>
      <c r="D6" s="1006" t="s">
        <v>278</v>
      </c>
      <c r="E6" s="1007" t="s">
        <v>279</v>
      </c>
      <c r="F6" s="1008" t="s">
        <v>280</v>
      </c>
      <c r="G6" s="1008" t="s">
        <v>303</v>
      </c>
      <c r="H6" s="1004"/>
      <c r="I6" s="1004"/>
      <c r="J6" s="1004" t="s">
        <v>283</v>
      </c>
      <c r="K6" s="1004" t="s">
        <v>1188</v>
      </c>
      <c r="L6" s="1004" t="s">
        <v>1189</v>
      </c>
      <c r="M6" s="1004" t="s">
        <v>293</v>
      </c>
      <c r="N6" s="1004" t="s">
        <v>1190</v>
      </c>
    </row>
    <row r="7" spans="1:14"/>
  </sheetData>
  <dataValidations disablePrompts="1" count="1">
    <dataValidation allowBlank="1" showInputMessage="1" showErrorMessage="1" sqref="B6"/>
  </dataValidations>
  <printOptions horizontalCentered="1"/>
  <pageMargins left="0.39370078740157499" right="0.196850393700787" top="0.59055118110236204" bottom="0.59055118110236204" header="0.31496062992126" footer="0.31496062992126"/>
  <pageSetup paperSize="9" orientation="portrait" blackAndWhite="1" horizontalDpi="300" verticalDpi="300" r:id="rId1"/>
  <headerFooter>
    <oddFooter>&amp;C&amp;P</oddFooter>
  </headerFooter>
  <ignoredErrors>
    <ignoredError sqref="A2:A3" unlockedFormula="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57</vt:i4>
      </vt:variant>
      <vt:variant>
        <vt:lpstr>Named Ranges</vt:lpstr>
      </vt:variant>
      <vt:variant>
        <vt:i4>710</vt:i4>
      </vt:variant>
    </vt:vector>
  </HeadingPairs>
  <TitlesOfParts>
    <vt:vector size="767" baseType="lpstr">
      <vt:lpstr>Config</vt:lpstr>
      <vt:lpstr>Data</vt:lpstr>
      <vt:lpstr>Ts</vt:lpstr>
      <vt:lpstr>Bia-TMDT</vt:lpstr>
      <vt:lpstr>TMDT</vt:lpstr>
      <vt:lpstr>DT PA boi thuong</vt:lpstr>
      <vt:lpstr>TMDT-GTH</vt:lpstr>
      <vt:lpstr>TMDT-SVDT</vt:lpstr>
      <vt:lpstr>DMTL</vt:lpstr>
      <vt:lpstr>Bia-Dutoan</vt:lpstr>
      <vt:lpstr>Bia-DTXD</vt:lpstr>
      <vt:lpstr>TM</vt:lpstr>
      <vt:lpstr>BC tham dinh</vt:lpstr>
      <vt:lpstr>BC tham tra</vt:lpstr>
      <vt:lpstr>TH DTXD</vt:lpstr>
      <vt:lpstr>THCP tu van</vt:lpstr>
      <vt:lpstr>DT man-month</vt:lpstr>
      <vt:lpstr>Cp chuyen gia</vt:lpstr>
      <vt:lpstr>Tienluong</vt:lpstr>
      <vt:lpstr>CPK TV</vt:lpstr>
      <vt:lpstr>Tien do TV</vt:lpstr>
      <vt:lpstr>THCP khac</vt:lpstr>
      <vt:lpstr>THDT goi thau XD</vt:lpstr>
      <vt:lpstr>CP Du phong</vt:lpstr>
      <vt:lpstr>THCP xay dung</vt:lpstr>
      <vt:lpstr>Don gia tong hop</vt:lpstr>
      <vt:lpstr>Du toan XD</vt:lpstr>
      <vt:lpstr>Don gia XD</vt:lpstr>
      <vt:lpstr>TH vat tu XD</vt:lpstr>
      <vt:lpstr>Dich thuat</vt:lpstr>
      <vt:lpstr>Thong ke thep</vt:lpstr>
      <vt:lpstr>Gia vua XD</vt:lpstr>
      <vt:lpstr>Gia vat lieu HTXD</vt:lpstr>
      <vt:lpstr>Nhan cong XD</vt:lpstr>
      <vt:lpstr>Gia ca may XD</vt:lpstr>
      <vt:lpstr>Du thau XD</vt:lpstr>
      <vt:lpstr>Xet thau XD</vt:lpstr>
      <vt:lpstr>Bia-DTTB</vt:lpstr>
      <vt:lpstr>THDT goi thau TB</vt:lpstr>
      <vt:lpstr>THCP thiet bi</vt:lpstr>
      <vt:lpstr>MS TBVT-TN</vt:lpstr>
      <vt:lpstr>MS TBVT-NN</vt:lpstr>
      <vt:lpstr>Tho lai may</vt:lpstr>
      <vt:lpstr>CP ban quyen CN</vt:lpstr>
      <vt:lpstr>CP dao tao</vt:lpstr>
      <vt:lpstr>CP chay thu TB</vt:lpstr>
      <vt:lpstr>CP Thi nghiem TB</vt:lpstr>
      <vt:lpstr>THCP Lap dat</vt:lpstr>
      <vt:lpstr>Du toan LD</vt:lpstr>
      <vt:lpstr>Don gia LD</vt:lpstr>
      <vt:lpstr>TH vat tu LD</vt:lpstr>
      <vt:lpstr>Gia vua LD</vt:lpstr>
      <vt:lpstr>Gia vat lieu HTLD</vt:lpstr>
      <vt:lpstr>Nhan cong LD</vt:lpstr>
      <vt:lpstr>Gia ca may LD</vt:lpstr>
      <vt:lpstr>Du thau LD</vt:lpstr>
      <vt:lpstr>Xet thau LD</vt:lpstr>
      <vt:lpstr>baocao_</vt:lpstr>
      <vt:lpstr>BTK</vt:lpstr>
      <vt:lpstr>CCT</vt:lpstr>
      <vt:lpstr>CF_CHKROUNDDG</vt:lpstr>
      <vt:lpstr>CF_CHKROUNDKL</vt:lpstr>
      <vt:lpstr>CF_CPD</vt:lpstr>
      <vt:lpstr>CF_CPTV</vt:lpstr>
      <vt:lpstr>CF_DBGVT</vt:lpstr>
      <vt:lpstr>CF_DGKL</vt:lpstr>
      <vt:lpstr>CF_DTGT</vt:lpstr>
      <vt:lpstr>CF_GTHAU</vt:lpstr>
      <vt:lpstr>CF_HIDE_NCM</vt:lpstr>
      <vt:lpstr>CF_HSDGCT</vt:lpstr>
      <vt:lpstr>CF_HSM</vt:lpstr>
      <vt:lpstr>CF_HSNC</vt:lpstr>
      <vt:lpstr>CF_HSTT</vt:lpstr>
      <vt:lpstr>CF_HSVL</vt:lpstr>
      <vt:lpstr>CF_LDTR</vt:lpstr>
      <vt:lpstr>CF_MATL</vt:lpstr>
      <vt:lpstr>CF_NCPALL</vt:lpstr>
      <vt:lpstr>CF_NCPK</vt:lpstr>
      <vt:lpstr>CF_NCPTV</vt:lpstr>
      <vt:lpstr>CF_ROUNDDG</vt:lpstr>
      <vt:lpstr>CF_ROUNDKL</vt:lpstr>
      <vt:lpstr>Config!CF_SLCTTH</vt:lpstr>
      <vt:lpstr>CF_TDGDD</vt:lpstr>
      <vt:lpstr>CF_TDGDP</vt:lpstr>
      <vt:lpstr>CF_TDGTH</vt:lpstr>
      <vt:lpstr>CF_TDNCXD</vt:lpstr>
      <vt:lpstr>CF_TITILE_MK</vt:lpstr>
      <vt:lpstr>CF_TITILE_MTC</vt:lpstr>
      <vt:lpstr>CF_TITILE_NC</vt:lpstr>
      <vt:lpstr>CF_TITILE_VL</vt:lpstr>
      <vt:lpstr>CF_TITILE_VLK</vt:lpstr>
      <vt:lpstr>CF_TITILE_VLP</vt:lpstr>
      <vt:lpstr>CF_TT</vt:lpstr>
      <vt:lpstr>CF_TYPE_DG</vt:lpstr>
      <vt:lpstr>CF_VLHSDMTL</vt:lpstr>
      <vt:lpstr>CFTB_HSTT</vt:lpstr>
      <vt:lpstr>CPDP_B1</vt:lpstr>
      <vt:lpstr>CPDP_B2</vt:lpstr>
      <vt:lpstr>CPDP_B3</vt:lpstr>
      <vt:lpstr>CPDP_B4</vt:lpstr>
      <vt:lpstr>CPDP_B5</vt:lpstr>
      <vt:lpstr>CPDP_B6</vt:lpstr>
      <vt:lpstr>CPDP_B7</vt:lpstr>
      <vt:lpstr>CPDP_B8</vt:lpstr>
      <vt:lpstr>CPDP_B9</vt:lpstr>
      <vt:lpstr>CPDP_BD1</vt:lpstr>
      <vt:lpstr>CPDP_BD2</vt:lpstr>
      <vt:lpstr>CPDP_BD3</vt:lpstr>
      <vt:lpstr>CPDP_CP1</vt:lpstr>
      <vt:lpstr>CPDP_CP2</vt:lpstr>
      <vt:lpstr>CPDP_CP3</vt:lpstr>
      <vt:lpstr>CPDP_GDP1</vt:lpstr>
      <vt:lpstr>CPDP_GDP2</vt:lpstr>
      <vt:lpstr>CPDP_GDP3</vt:lpstr>
      <vt:lpstr>CPDP_PS1</vt:lpstr>
      <vt:lpstr>CPDP_PS2</vt:lpstr>
      <vt:lpstr>CPDP_PS3</vt:lpstr>
      <vt:lpstr>CPMS</vt:lpstr>
      <vt:lpstr>CPTBtt</vt:lpstr>
      <vt:lpstr>CPXDtt</vt:lpstr>
      <vt:lpstr>CSPL</vt:lpstr>
      <vt:lpstr>CTTB_DG</vt:lpstr>
      <vt:lpstr>CTTB_DGM</vt:lpstr>
      <vt:lpstr>CTTB_DGNC</vt:lpstr>
      <vt:lpstr>CTTB_DGVL</vt:lpstr>
      <vt:lpstr>CTTB_DGVLP</vt:lpstr>
      <vt:lpstr>CTTB_DM</vt:lpstr>
      <vt:lpstr>CTTB_DMHP</vt:lpstr>
      <vt:lpstr>CTTB_DV</vt:lpstr>
      <vt:lpstr>CTTB_G</vt:lpstr>
      <vt:lpstr>CTTB_HPK</vt:lpstr>
      <vt:lpstr>CTTB_HS</vt:lpstr>
      <vt:lpstr>CTTB_ID</vt:lpstr>
      <vt:lpstr>CTTB_KL</vt:lpstr>
      <vt:lpstr>CTTB_MSVT</vt:lpstr>
      <vt:lpstr>CTTB_MV</vt:lpstr>
      <vt:lpstr>CTTB_STT</vt:lpstr>
      <vt:lpstr>CTTB_TEN</vt:lpstr>
      <vt:lpstr>CTTB_THP</vt:lpstr>
      <vt:lpstr>CTTB_TT</vt:lpstr>
      <vt:lpstr>CTXD_DG</vt:lpstr>
      <vt:lpstr>CTXD_DGM</vt:lpstr>
      <vt:lpstr>CTXD_DGNC</vt:lpstr>
      <vt:lpstr>CTXD_DGVL</vt:lpstr>
      <vt:lpstr>CTXD_DGVLP</vt:lpstr>
      <vt:lpstr>CTXD_DM</vt:lpstr>
      <vt:lpstr>CTXD_DMHP</vt:lpstr>
      <vt:lpstr>CTXD_DV</vt:lpstr>
      <vt:lpstr>CTXD_G</vt:lpstr>
      <vt:lpstr>CTXD_HPK</vt:lpstr>
      <vt:lpstr>CTXD_HS</vt:lpstr>
      <vt:lpstr>CTXD_ID</vt:lpstr>
      <vt:lpstr>CTXD_KL</vt:lpstr>
      <vt:lpstr>CTXD_MSG</vt:lpstr>
      <vt:lpstr>CTXD_MSVT</vt:lpstr>
      <vt:lpstr>CTXD_MV</vt:lpstr>
      <vt:lpstr>CTXD_STT</vt:lpstr>
      <vt:lpstr>CTXD_TEN</vt:lpstr>
      <vt:lpstr>CTXD_THP</vt:lpstr>
      <vt:lpstr>CTXD_TT</vt:lpstr>
      <vt:lpstr>DGTH_CPHC</vt:lpstr>
      <vt:lpstr>DGTH_CPHDP</vt:lpstr>
      <vt:lpstr>DGTH_CPTC</vt:lpstr>
      <vt:lpstr>DGTH_DGGTH</vt:lpstr>
      <vt:lpstr>DGTH_DGXD</vt:lpstr>
      <vt:lpstr>DGTH_DGXTH</vt:lpstr>
      <vt:lpstr>'Don gia tong hop'!DGTH_DV</vt:lpstr>
      <vt:lpstr>DGTH_GTGT</vt:lpstr>
      <vt:lpstr>DGTH_GVT</vt:lpstr>
      <vt:lpstr>DGTH_HPH</vt:lpstr>
      <vt:lpstr>DGTH_HS</vt:lpstr>
      <vt:lpstr>'Don gia tong hop'!DGTH_ID</vt:lpstr>
      <vt:lpstr>'Don gia tong hop'!DGTH_KL</vt:lpstr>
      <vt:lpstr>'Don gia tong hop'!DGTH_KLMA</vt:lpstr>
      <vt:lpstr>'Don gia tong hop'!DGTH_KLNC</vt:lpstr>
      <vt:lpstr>'Don gia tong hop'!DGTH_KLVL</vt:lpstr>
      <vt:lpstr>'Don gia tong hop'!DGTH_KLVLP</vt:lpstr>
      <vt:lpstr>'Don gia tong hop'!DGTH_MDM</vt:lpstr>
      <vt:lpstr>'Don gia tong hop'!DGTH_MHD</vt:lpstr>
      <vt:lpstr>'Don gia tong hop'!DGTH_MHDG</vt:lpstr>
      <vt:lpstr>'Don gia tong hop'!DGTH_MV</vt:lpstr>
      <vt:lpstr>'Don gia tong hop'!DGTH_STT</vt:lpstr>
      <vt:lpstr>DGTH_TCHP</vt:lpstr>
      <vt:lpstr>'Don gia tong hop'!DGTH_TEN</vt:lpstr>
      <vt:lpstr>dien</vt:lpstr>
      <vt:lpstr>diezel</vt:lpstr>
      <vt:lpstr>DTDTTB_CPC</vt:lpstr>
      <vt:lpstr>DTDTTB_CPTT</vt:lpstr>
      <vt:lpstr>'Xet thau LD'!DTDTTB_DG</vt:lpstr>
      <vt:lpstr>DTDTTB_DG</vt:lpstr>
      <vt:lpstr>'Xet thau LD'!DTDTTB_DV</vt:lpstr>
      <vt:lpstr>DTDTTB_DV</vt:lpstr>
      <vt:lpstr>DTDTTB_G</vt:lpstr>
      <vt:lpstr>DTDTTB_GTGT</vt:lpstr>
      <vt:lpstr>'Xet thau LD'!DTDTTB_KL</vt:lpstr>
      <vt:lpstr>DTDTTB_KL</vt:lpstr>
      <vt:lpstr>DTDTTB_M</vt:lpstr>
      <vt:lpstr>'Xet thau LD'!DTDTTB_MH</vt:lpstr>
      <vt:lpstr>DTDTTB_MH</vt:lpstr>
      <vt:lpstr>DTDTTB_NC</vt:lpstr>
      <vt:lpstr>DTDTTB_NT</vt:lpstr>
      <vt:lpstr>DTDTTB_ST</vt:lpstr>
      <vt:lpstr>'Xet thau LD'!DTDTTB_STT</vt:lpstr>
      <vt:lpstr>DTDTTB_STT</vt:lpstr>
      <vt:lpstr>'Xet thau LD'!DTDTTB_TENCV</vt:lpstr>
      <vt:lpstr>DTDTTB_TENCV</vt:lpstr>
      <vt:lpstr>DTDTTB_TL</vt:lpstr>
      <vt:lpstr>'Xet thau LD'!DTDTTB_TT</vt:lpstr>
      <vt:lpstr>DTDTTB_TT</vt:lpstr>
      <vt:lpstr>DTDTTB_TTK</vt:lpstr>
      <vt:lpstr>DTDTTB_VL</vt:lpstr>
      <vt:lpstr>DTDTTB_VLP</vt:lpstr>
      <vt:lpstr>'Xet thau XD'!DTDTXD_CPC</vt:lpstr>
      <vt:lpstr>DTDTXD_CPC</vt:lpstr>
      <vt:lpstr>'Xet thau XD'!DTDTXD_CPTT</vt:lpstr>
      <vt:lpstr>DTDTXD_CPTT</vt:lpstr>
      <vt:lpstr>'Xet thau XD'!DTDTXD_DG</vt:lpstr>
      <vt:lpstr>DTDTXD_DG</vt:lpstr>
      <vt:lpstr>'Xet thau XD'!DTDTXD_DV</vt:lpstr>
      <vt:lpstr>DTDTXD_DV</vt:lpstr>
      <vt:lpstr>'Xet thau XD'!DTDTXD_G</vt:lpstr>
      <vt:lpstr>DTDTXD_G</vt:lpstr>
      <vt:lpstr>'Xet thau XD'!DTDTXD_GTGT</vt:lpstr>
      <vt:lpstr>DTDTXD_GTGT</vt:lpstr>
      <vt:lpstr>'Xet thau XD'!DTDTXD_KL</vt:lpstr>
      <vt:lpstr>DTDTXD_KL</vt:lpstr>
      <vt:lpstr>DTDTXD_M</vt:lpstr>
      <vt:lpstr>'Xet thau XD'!DTDTXD_MH</vt:lpstr>
      <vt:lpstr>DTDTXD_MH</vt:lpstr>
      <vt:lpstr>DTDTXD_NC</vt:lpstr>
      <vt:lpstr>'Xet thau XD'!DTDTXD_NT</vt:lpstr>
      <vt:lpstr>DTDTXD_NT</vt:lpstr>
      <vt:lpstr>'Xet thau XD'!DTDTXD_ST</vt:lpstr>
      <vt:lpstr>DTDTXD_ST</vt:lpstr>
      <vt:lpstr>'Xet thau XD'!DTDTXD_STT</vt:lpstr>
      <vt:lpstr>DTDTXD_STT</vt:lpstr>
      <vt:lpstr>'Xet thau XD'!DTDTXD_TENCV</vt:lpstr>
      <vt:lpstr>DTDTXD_TENCV</vt:lpstr>
      <vt:lpstr>'Xet thau XD'!DTDTXD_TL</vt:lpstr>
      <vt:lpstr>DTDTXD_TL</vt:lpstr>
      <vt:lpstr>'Xet thau XD'!DTDTXD_TT</vt:lpstr>
      <vt:lpstr>DTDTXD_TT</vt:lpstr>
      <vt:lpstr>'Xet thau XD'!DTDTXD_TTK</vt:lpstr>
      <vt:lpstr>DTDTXD_TTK</vt:lpstr>
      <vt:lpstr>DTDTXD_VL</vt:lpstr>
      <vt:lpstr>DTDTXD_VLP</vt:lpstr>
      <vt:lpstr>DTGTTB_N1</vt:lpstr>
      <vt:lpstr>DTGTXD_N1</vt:lpstr>
      <vt:lpstr>DTTB_BP</vt:lpstr>
      <vt:lpstr>DTTB_CAO</vt:lpstr>
      <vt:lpstr>DTTB_DAI</vt:lpstr>
      <vt:lpstr>DTTB_DG06</vt:lpstr>
      <vt:lpstr>DTTB_DM</vt:lpstr>
      <vt:lpstr>DTTB_DV</vt:lpstr>
      <vt:lpstr>DTTB_GHC</vt:lpstr>
      <vt:lpstr>DTTB_HS</vt:lpstr>
      <vt:lpstr>DTTB_ID</vt:lpstr>
      <vt:lpstr>DTTB_KL</vt:lpstr>
      <vt:lpstr>DTTB_KLBP</vt:lpstr>
      <vt:lpstr>DTTB_KLTB</vt:lpstr>
      <vt:lpstr>DTTB_M</vt:lpstr>
      <vt:lpstr>DTTB_MG</vt:lpstr>
      <vt:lpstr>DTTB_MH</vt:lpstr>
      <vt:lpstr>DTTB_MV</vt:lpstr>
      <vt:lpstr>DTTB_NC</vt:lpstr>
      <vt:lpstr>DTTB_NCG</vt:lpstr>
      <vt:lpstr>DTTB_RONG</vt:lpstr>
      <vt:lpstr>DTTB_STT</vt:lpstr>
      <vt:lpstr>DTTB_TENCV</vt:lpstr>
      <vt:lpstr>DTTB_TT06</vt:lpstr>
      <vt:lpstr>DTTB_VL</vt:lpstr>
      <vt:lpstr>DTTB_VLCT</vt:lpstr>
      <vt:lpstr>DTTB_VLG</vt:lpstr>
      <vt:lpstr>DTTB_VLP</vt:lpstr>
      <vt:lpstr>DTTB_VLPG</vt:lpstr>
      <vt:lpstr>DTXD_BP</vt:lpstr>
      <vt:lpstr>DTXD_CAO</vt:lpstr>
      <vt:lpstr>DTXD_DAI</vt:lpstr>
      <vt:lpstr>DTXD_DG06</vt:lpstr>
      <vt:lpstr>DTXD_DM</vt:lpstr>
      <vt:lpstr>DTXD_DV</vt:lpstr>
      <vt:lpstr>DTXD_GHC</vt:lpstr>
      <vt:lpstr>DTXD_HS</vt:lpstr>
      <vt:lpstr>DTXD_ID</vt:lpstr>
      <vt:lpstr>DTXD_KL</vt:lpstr>
      <vt:lpstr>DTXD_KLBP</vt:lpstr>
      <vt:lpstr>DTXD_KLTB</vt:lpstr>
      <vt:lpstr>DTXD_M</vt:lpstr>
      <vt:lpstr>DTXD_MG</vt:lpstr>
      <vt:lpstr>DTXD_MH</vt:lpstr>
      <vt:lpstr>DTXD_MV</vt:lpstr>
      <vt:lpstr>DTXD_NC</vt:lpstr>
      <vt:lpstr>DTXD_NCG</vt:lpstr>
      <vt:lpstr>DTXD_RONG</vt:lpstr>
      <vt:lpstr>DTXD_STT</vt:lpstr>
      <vt:lpstr>DTXD_TENCV</vt:lpstr>
      <vt:lpstr>DTXD_TT06</vt:lpstr>
      <vt:lpstr>DTXD_VL</vt:lpstr>
      <vt:lpstr>DTXD_VLCT</vt:lpstr>
      <vt:lpstr>DTXD_VLG</vt:lpstr>
      <vt:lpstr>DTXD_VLP</vt:lpstr>
      <vt:lpstr>DTXD_VLPG</vt:lpstr>
      <vt:lpstr>G_KS</vt:lpstr>
      <vt:lpstr>GCMTB_CA</vt:lpstr>
      <vt:lpstr>GCMTB_CBT</vt:lpstr>
      <vt:lpstr>'Gia ca may LD'!GCMTB_CLCPNL</vt:lpstr>
      <vt:lpstr>GCMTB_CPK</vt:lpstr>
      <vt:lpstr>GCMTB_CPKG</vt:lpstr>
      <vt:lpstr>GCMTB_CPKH</vt:lpstr>
      <vt:lpstr>GCMTB_CPKHG</vt:lpstr>
      <vt:lpstr>GCMTB_CPNL</vt:lpstr>
      <vt:lpstr>GCMTB_CPNLDC</vt:lpstr>
      <vt:lpstr>GCMTB_CPNLG</vt:lpstr>
      <vt:lpstr>GCMTB_CPSC</vt:lpstr>
      <vt:lpstr>GCMTB_CPSCG</vt:lpstr>
      <vt:lpstr>GCMTB_CPTL</vt:lpstr>
      <vt:lpstr>GCMTB_CPTLDC</vt:lpstr>
      <vt:lpstr>GCMTB_CPTLG</vt:lpstr>
      <vt:lpstr>GCMTB_DIEN</vt:lpstr>
      <vt:lpstr>GCMTB_DIEZEL</vt:lpstr>
      <vt:lpstr>'Gia ca may LD'!GCMTB_DMCA</vt:lpstr>
      <vt:lpstr>GCMTB_DMK</vt:lpstr>
      <vt:lpstr>GCMTB_DMKH</vt:lpstr>
      <vt:lpstr>GCMTB_DMSC</vt:lpstr>
      <vt:lpstr>GCMTB_DMTH</vt:lpstr>
      <vt:lpstr>GCMTB_GCM</vt:lpstr>
      <vt:lpstr>GCMTB_GCMDC</vt:lpstr>
      <vt:lpstr>GCMTB_GCMG</vt:lpstr>
      <vt:lpstr>'Gia ca may LD'!GCMTB_HPCA</vt:lpstr>
      <vt:lpstr>GCMTB_HSDCNG</vt:lpstr>
      <vt:lpstr>GCMTB_HSDCNL</vt:lpstr>
      <vt:lpstr>GCMTB_HSDCTL</vt:lpstr>
      <vt:lpstr>GCMTB_HSP</vt:lpstr>
      <vt:lpstr>GCMTB_HSTH</vt:lpstr>
      <vt:lpstr>GCMTB_MH</vt:lpstr>
      <vt:lpstr>GCMTB_NG</vt:lpstr>
      <vt:lpstr>GCMTB_NGDC</vt:lpstr>
      <vt:lpstr>GCMTB_NGG</vt:lpstr>
      <vt:lpstr>GCMTB_STT</vt:lpstr>
      <vt:lpstr>GCMTB_TENM</vt:lpstr>
      <vt:lpstr>GCMTB_THNL</vt:lpstr>
      <vt:lpstr>'Gia ca may LD'!GCMTB_THP</vt:lpstr>
      <vt:lpstr>GCMTB_XANG</vt:lpstr>
      <vt:lpstr>GCMXD_CA</vt:lpstr>
      <vt:lpstr>GCMXD_CBT</vt:lpstr>
      <vt:lpstr>'Gia ca may XD'!GCMXD_CLCPNL</vt:lpstr>
      <vt:lpstr>GCMXD_CPK</vt:lpstr>
      <vt:lpstr>GCMXD_CPKG</vt:lpstr>
      <vt:lpstr>GCMXD_CPKH</vt:lpstr>
      <vt:lpstr>GCMXD_CPKHG</vt:lpstr>
      <vt:lpstr>GCMXD_CPNL</vt:lpstr>
      <vt:lpstr>GCMXD_CPNLDC</vt:lpstr>
      <vt:lpstr>GCMXD_CPNLG</vt:lpstr>
      <vt:lpstr>GCMXD_CPSC</vt:lpstr>
      <vt:lpstr>GCMXD_CPSCG</vt:lpstr>
      <vt:lpstr>GCMXD_CPTL</vt:lpstr>
      <vt:lpstr>GCMXD_CPTLDC</vt:lpstr>
      <vt:lpstr>GCMXD_CPTLG</vt:lpstr>
      <vt:lpstr>GCMXD_DIEN</vt:lpstr>
      <vt:lpstr>GCMXD_DIEZEL</vt:lpstr>
      <vt:lpstr>'Gia ca may XD'!GCMXD_DMCA</vt:lpstr>
      <vt:lpstr>GCMXD_DMK</vt:lpstr>
      <vt:lpstr>GCMXD_DMKH</vt:lpstr>
      <vt:lpstr>GCMXD_DMSC</vt:lpstr>
      <vt:lpstr>GCMXD_DMTH</vt:lpstr>
      <vt:lpstr>GCMXD_GCM</vt:lpstr>
      <vt:lpstr>GCMXD_GCMDC</vt:lpstr>
      <vt:lpstr>GCMXD_GCMG</vt:lpstr>
      <vt:lpstr>'Gia ca may XD'!GCMXD_HPCA</vt:lpstr>
      <vt:lpstr>GCMXD_HSDCNG</vt:lpstr>
      <vt:lpstr>GCMXD_HSDCNL</vt:lpstr>
      <vt:lpstr>GCMXD_HSDCTL</vt:lpstr>
      <vt:lpstr>GCMXD_HSP</vt:lpstr>
      <vt:lpstr>GCMXD_HSTH</vt:lpstr>
      <vt:lpstr>GCMXD_MH</vt:lpstr>
      <vt:lpstr>GCMXD_NG</vt:lpstr>
      <vt:lpstr>GCMXD_NGDC</vt:lpstr>
      <vt:lpstr>GCMXD_NGG</vt:lpstr>
      <vt:lpstr>GCMXD_STT</vt:lpstr>
      <vt:lpstr>GCMXD_TENM</vt:lpstr>
      <vt:lpstr>GCMXD_THNL</vt:lpstr>
      <vt:lpstr>'Gia ca may XD'!GCMXD_THP</vt:lpstr>
      <vt:lpstr>GCMXD_XANG</vt:lpstr>
      <vt:lpstr>GKS</vt:lpstr>
      <vt:lpstr>GLD_CT</vt:lpstr>
      <vt:lpstr>GLD_GT1</vt:lpstr>
      <vt:lpstr>GLD_HS1</vt:lpstr>
      <vt:lpstr>GLD_HS2</vt:lpstr>
      <vt:lpstr>GLD_KH</vt:lpstr>
      <vt:lpstr>GLD_KM</vt:lpstr>
      <vt:lpstr>GLD_STT</vt:lpstr>
      <vt:lpstr>GLDtt</vt:lpstr>
      <vt:lpstr>GMTB_cot19</vt:lpstr>
      <vt:lpstr>GMTB_cot33</vt:lpstr>
      <vt:lpstr>GMXD_cot18</vt:lpstr>
      <vt:lpstr>GMXD_cot33</vt:lpstr>
      <vt:lpstr>GQLDA</vt:lpstr>
      <vt:lpstr>GQLDAAA</vt:lpstr>
      <vt:lpstr>GQTDA</vt:lpstr>
      <vt:lpstr>GT_TB</vt:lpstr>
      <vt:lpstr>GT_TC</vt:lpstr>
      <vt:lpstr>GT_TV</vt:lpstr>
      <vt:lpstr>GTBtt</vt:lpstr>
      <vt:lpstr>GTBtt_Ts</vt:lpstr>
      <vt:lpstr>'TMDT-GTH'!GTH_BPKC</vt:lpstr>
      <vt:lpstr>'TMDT-GTH'!GTH_CSG</vt:lpstr>
      <vt:lpstr>'TMDT-GTH'!GTH_DV</vt:lpstr>
      <vt:lpstr>'TMDT-GTH'!GTH_GCHU</vt:lpstr>
      <vt:lpstr>'TMDT-GTH'!GTH_GTH</vt:lpstr>
      <vt:lpstr>'TMDT-GTH'!GTH_HSQM</vt:lpstr>
      <vt:lpstr>'TMDT-GTH'!GTH_HSV</vt:lpstr>
      <vt:lpstr>'TMDT-GTH'!GTH_KL</vt:lpstr>
      <vt:lpstr>'TMDT-GTH'!GTH_MH</vt:lpstr>
      <vt:lpstr>'TMDT-GTH'!GTH_SAUTHUE</vt:lpstr>
      <vt:lpstr>'TMDT-GTH'!GTH_STT</vt:lpstr>
      <vt:lpstr>'TMDT-GTH'!GTH_TRCTHUE</vt:lpstr>
      <vt:lpstr>'TMDT-GTH'!GTH_VAT</vt:lpstr>
      <vt:lpstr>GTTB</vt:lpstr>
      <vt:lpstr>GTTB_</vt:lpstr>
      <vt:lpstr>GTTC</vt:lpstr>
      <vt:lpstr>GTTV</vt:lpstr>
      <vt:lpstr>GTXD_</vt:lpstr>
      <vt:lpstr>GXD_CT</vt:lpstr>
      <vt:lpstr>GXD_GT1</vt:lpstr>
      <vt:lpstr>GXD_HS1</vt:lpstr>
      <vt:lpstr>GXD_HS2</vt:lpstr>
      <vt:lpstr>GXD_KH</vt:lpstr>
      <vt:lpstr>GXD_KM</vt:lpstr>
      <vt:lpstr>GXD_STT</vt:lpstr>
      <vt:lpstr>GXDtt</vt:lpstr>
      <vt:lpstr>GXDtt_Ts</vt:lpstr>
      <vt:lpstr>Heso</vt:lpstr>
      <vt:lpstr>LCT</vt:lpstr>
      <vt:lpstr>Config!lduong</vt:lpstr>
      <vt:lpstr>mazut</vt:lpstr>
      <vt:lpstr>MSTB_CL</vt:lpstr>
      <vt:lpstr>MSTB_DGTT</vt:lpstr>
      <vt:lpstr>'MS TBVT-NN'!MSTB_DGTT_EUR</vt:lpstr>
      <vt:lpstr>'MS TBVT-NN'!MSTB_DGTT_USD</vt:lpstr>
      <vt:lpstr>'MS TBVT-NN'!MSTB_DGTT_VND</vt:lpstr>
      <vt:lpstr>'MS TBVT-NN'!MSTB_DVI</vt:lpstr>
      <vt:lpstr>MSTB_DVI</vt:lpstr>
      <vt:lpstr>'MS TBVT-NN'!MSTB_GCHU</vt:lpstr>
      <vt:lpstr>MSTB_GCHU</vt:lpstr>
      <vt:lpstr>MSTB_GTGT</vt:lpstr>
      <vt:lpstr>'MS TBVT-NN'!MSTB_KLG</vt:lpstr>
      <vt:lpstr>MSTB_KLG</vt:lpstr>
      <vt:lpstr>MSTB_NCC</vt:lpstr>
      <vt:lpstr>MSTB_NGUON</vt:lpstr>
      <vt:lpstr>MSTB_NSX</vt:lpstr>
      <vt:lpstr>'MS TBVT-NN'!MSTB_STT</vt:lpstr>
      <vt:lpstr>MSTB_STT</vt:lpstr>
      <vt:lpstr>'MS TBVT-NN'!MSTB_TEN</vt:lpstr>
      <vt:lpstr>MSTB_TEN</vt:lpstr>
      <vt:lpstr>'MS TBVT-NN'!MSTB_TGTGT</vt:lpstr>
      <vt:lpstr>'MS TBVT-NN'!MSTB_TRA</vt:lpstr>
      <vt:lpstr>MSTB_TRA</vt:lpstr>
      <vt:lpstr>'MS TBVT-NN'!MSTB_TSUAT</vt:lpstr>
      <vt:lpstr>MSTB_TSUAT</vt:lpstr>
      <vt:lpstr>'MS TBVT-NN'!MSTB_TTST</vt:lpstr>
      <vt:lpstr>MSTB_TTST</vt:lpstr>
      <vt:lpstr>'MS TBVT-NN'!MSTB_TTTGTGT</vt:lpstr>
      <vt:lpstr>'MS TBVT-NN'!MSTB_TTTSUAT</vt:lpstr>
      <vt:lpstr>'MS TBVT-NN'!MSTB_TTTT</vt:lpstr>
      <vt:lpstr>MSTB_TTTT</vt:lpstr>
      <vt:lpstr>MSTB_XX</vt:lpstr>
      <vt:lpstr>NCLM_CB</vt:lpstr>
      <vt:lpstr>NCLM_HSL</vt:lpstr>
      <vt:lpstr>NCLM_LNC</vt:lpstr>
      <vt:lpstr>NCLM_MH</vt:lpstr>
      <vt:lpstr>NCLM_STT</vt:lpstr>
      <vt:lpstr>NCLM_T</vt:lpstr>
      <vt:lpstr>NCTB_CB</vt:lpstr>
      <vt:lpstr>NCTB_HSL</vt:lpstr>
      <vt:lpstr>NCTB_LNC</vt:lpstr>
      <vt:lpstr>NCTB_MH</vt:lpstr>
      <vt:lpstr>NCTB_STT</vt:lpstr>
      <vt:lpstr>NCTB_T</vt:lpstr>
      <vt:lpstr>NCXD_CB</vt:lpstr>
      <vt:lpstr>NCXD_HSL</vt:lpstr>
      <vt:lpstr>NCXD_LNC</vt:lpstr>
      <vt:lpstr>NCXD_MH</vt:lpstr>
      <vt:lpstr>NCXD_STT</vt:lpstr>
      <vt:lpstr>NCXD_T</vt:lpstr>
      <vt:lpstr>Nhom_DTM</vt:lpstr>
      <vt:lpstr>period_selected</vt:lpstr>
      <vt:lpstr>PLVTB_DG</vt:lpstr>
      <vt:lpstr>PLVTB_DM</vt:lpstr>
      <vt:lpstr>PLVTB_DV</vt:lpstr>
      <vt:lpstr>PLVTB_LVT</vt:lpstr>
      <vt:lpstr>PLVTB_MV</vt:lpstr>
      <vt:lpstr>PLVTB_MVT</vt:lpstr>
      <vt:lpstr>PLVTB_STT</vt:lpstr>
      <vt:lpstr>PLVTB_TT</vt:lpstr>
      <vt:lpstr>PLVXD_DG</vt:lpstr>
      <vt:lpstr>PLVXD_DM</vt:lpstr>
      <vt:lpstr>PLVXD_DV</vt:lpstr>
      <vt:lpstr>PLVXD_LVT</vt:lpstr>
      <vt:lpstr>PLVXD_MV</vt:lpstr>
      <vt:lpstr>PLVXD_MVT</vt:lpstr>
      <vt:lpstr>PLVXD_STT</vt:lpstr>
      <vt:lpstr>PLVXD_TT</vt:lpstr>
      <vt:lpstr>'BC tham dinh'!Print_Area</vt:lpstr>
      <vt:lpstr>'BC tham tra'!Print_Area</vt:lpstr>
      <vt:lpstr>'Bia-DTTB'!Print_Area</vt:lpstr>
      <vt:lpstr>'Bia-DTXD'!Print_Area</vt:lpstr>
      <vt:lpstr>'Bia-Dutoan'!Print_Area</vt:lpstr>
      <vt:lpstr>'Bia-TMDT'!Print_Area</vt:lpstr>
      <vt:lpstr>'CP ban quyen CN'!Print_Area</vt:lpstr>
      <vt:lpstr>'CP chay thu TB'!Print_Area</vt:lpstr>
      <vt:lpstr>'Cp chuyen gia'!Print_Area</vt:lpstr>
      <vt:lpstr>'CP dao tao'!Print_Area</vt:lpstr>
      <vt:lpstr>'CP Du phong'!Print_Area</vt:lpstr>
      <vt:lpstr>'CP Thi nghiem TB'!Print_Area</vt:lpstr>
      <vt:lpstr>'CPK TV'!Print_Area</vt:lpstr>
      <vt:lpstr>'Don gia LD'!Print_Area</vt:lpstr>
      <vt:lpstr>'Don gia tong hop'!Print_Area</vt:lpstr>
      <vt:lpstr>'DT man-month'!Print_Area</vt:lpstr>
      <vt:lpstr>'Du thau LD'!Print_Area</vt:lpstr>
      <vt:lpstr>'Du thau XD'!Print_Area</vt:lpstr>
      <vt:lpstr>'Du toan LD'!Print_Area</vt:lpstr>
      <vt:lpstr>'Du toan XD'!Print_Area</vt:lpstr>
      <vt:lpstr>'Gia ca may LD'!Print_Area</vt:lpstr>
      <vt:lpstr>'Gia ca may XD'!Print_Area</vt:lpstr>
      <vt:lpstr>'Gia vat lieu HTLD'!Print_Area</vt:lpstr>
      <vt:lpstr>'Gia vat lieu HTXD'!Print_Area</vt:lpstr>
      <vt:lpstr>'Gia vua LD'!Print_Area</vt:lpstr>
      <vt:lpstr>'Gia vua XD'!Print_Area</vt:lpstr>
      <vt:lpstr>'MS TBVT-TN'!Print_Area</vt:lpstr>
      <vt:lpstr>'TH DTXD'!Print_Area</vt:lpstr>
      <vt:lpstr>'THCP khac'!Print_Area</vt:lpstr>
      <vt:lpstr>'THCP Lap dat'!Print_Area</vt:lpstr>
      <vt:lpstr>'THCP tu van'!Print_Area</vt:lpstr>
      <vt:lpstr>'THCP xay dung'!Print_Area</vt:lpstr>
      <vt:lpstr>'THDT goi thau TB'!Print_Area</vt:lpstr>
      <vt:lpstr>'THDT goi thau XD'!Print_Area</vt:lpstr>
      <vt:lpstr>'Thong ke thep'!Print_Area</vt:lpstr>
      <vt:lpstr>Tienluong!Print_Area</vt:lpstr>
      <vt:lpstr>TM!Print_Area</vt:lpstr>
      <vt:lpstr>'TMDT-SVDT'!Print_Area</vt:lpstr>
      <vt:lpstr>Ts!Print_Area</vt:lpstr>
      <vt:lpstr>'Xet thau LD'!Print_Area</vt:lpstr>
      <vt:lpstr>'Xet thau XD'!Print_Area</vt:lpstr>
      <vt:lpstr>'CP ban quyen CN'!Print_Titles</vt:lpstr>
      <vt:lpstr>'CP chay thu TB'!Print_Titles</vt:lpstr>
      <vt:lpstr>'CP dao tao'!Print_Titles</vt:lpstr>
      <vt:lpstr>'CP Thi nghiem TB'!Print_Titles</vt:lpstr>
      <vt:lpstr>'Don gia LD'!Print_Titles</vt:lpstr>
      <vt:lpstr>'Don gia XD'!Print_Titles</vt:lpstr>
      <vt:lpstr>'Du thau LD'!Print_Titles</vt:lpstr>
      <vt:lpstr>'Du thau XD'!Print_Titles</vt:lpstr>
      <vt:lpstr>'Du toan LD'!Print_Titles</vt:lpstr>
      <vt:lpstr>'Du toan XD'!Print_Titles</vt:lpstr>
      <vt:lpstr>'Gia ca may LD'!Print_Titles</vt:lpstr>
      <vt:lpstr>'Gia ca may XD'!Print_Titles</vt:lpstr>
      <vt:lpstr>'Gia vat lieu HTLD'!Print_Titles</vt:lpstr>
      <vt:lpstr>'Gia vua XD'!Print_Titles</vt:lpstr>
      <vt:lpstr>'MS TBVT-TN'!Print_Titles</vt:lpstr>
      <vt:lpstr>'Nhan cong LD'!Print_Titles</vt:lpstr>
      <vt:lpstr>'Nhan cong XD'!Print_Titles</vt:lpstr>
      <vt:lpstr>'TH vat tu LD'!Print_Titles</vt:lpstr>
      <vt:lpstr>'TH vat tu XD'!Print_Titles</vt:lpstr>
      <vt:lpstr>'THCP Lap dat'!Print_Titles</vt:lpstr>
      <vt:lpstr>'Tho lai may'!Print_Titles</vt:lpstr>
      <vt:lpstr>'TMDT-SVDT'!Print_Titles</vt:lpstr>
      <vt:lpstr>'Xet thau LD'!Print_Titles</vt:lpstr>
      <vt:lpstr>'Xet thau XD'!Print_Titles</vt:lpstr>
      <vt:lpstr>QLDAtt</vt:lpstr>
      <vt:lpstr>'MS TBVT-NN'!RATE_EUR</vt:lpstr>
      <vt:lpstr>'MS TBVT-NN'!RATE_USD</vt:lpstr>
      <vt:lpstr>ROUNDDG</vt:lpstr>
      <vt:lpstr>ROUNDKL</vt:lpstr>
      <vt:lpstr>THCP_C</vt:lpstr>
      <vt:lpstr>THCP_CPDP</vt:lpstr>
      <vt:lpstr>THCP_G</vt:lpstr>
      <vt:lpstr>THCP_GTGT</vt:lpstr>
      <vt:lpstr>THCP_GXD</vt:lpstr>
      <vt:lpstr>THCP_hsCPDP</vt:lpstr>
      <vt:lpstr>THCP_hsGTGT</vt:lpstr>
      <vt:lpstr>THCP_hsTL</vt:lpstr>
      <vt:lpstr>THCP_M</vt:lpstr>
      <vt:lpstr>THCP_NC</vt:lpstr>
      <vt:lpstr>THCP_T</vt:lpstr>
      <vt:lpstr>THCP_TL</vt:lpstr>
      <vt:lpstr>THCP_VL</vt:lpstr>
      <vt:lpstr>THKP_CPQLDA</vt:lpstr>
      <vt:lpstr>THKPTB_CT</vt:lpstr>
      <vt:lpstr>'THCP thiet bi'!THKPTB_GTGT</vt:lpstr>
      <vt:lpstr>'THCP thiet bi'!THKPTB_ID</vt:lpstr>
      <vt:lpstr>'THCP thiet bi'!THKPTB_KH</vt:lpstr>
      <vt:lpstr>'THCP thiet bi'!THKPTB_NDCP</vt:lpstr>
      <vt:lpstr>'THCP thiet bi'!THKPTB_SAUTH</vt:lpstr>
      <vt:lpstr>'THCP thiet bi'!THKPTB_STT</vt:lpstr>
      <vt:lpstr>'THCP thiet bi'!THKPTB_TRCTH</vt:lpstr>
      <vt:lpstr>'TH DTXD'!THKPXD_CSPL</vt:lpstr>
      <vt:lpstr>'TH DTXD'!THKPXD_CT</vt:lpstr>
      <vt:lpstr>'TH DTXD'!THKPXD_GTGT</vt:lpstr>
      <vt:lpstr>'TH DTXD'!THKPXD_HS</vt:lpstr>
      <vt:lpstr>'TH DTXD'!THKPXD_ID</vt:lpstr>
      <vt:lpstr>'TH DTXD'!THKPXD_KH</vt:lpstr>
      <vt:lpstr>'TH DTXD'!THKPXD_NDCP</vt:lpstr>
      <vt:lpstr>'TH DTXD'!THKPXD_NT</vt:lpstr>
      <vt:lpstr>'TH DTXD'!THKPXD_SAUTH</vt:lpstr>
      <vt:lpstr>'TH DTXD'!THKPXD_STT</vt:lpstr>
      <vt:lpstr>'TH DTXD'!THKPXD_TRCTH</vt:lpstr>
      <vt:lpstr>THLD_CPDP</vt:lpstr>
      <vt:lpstr>THLD_G</vt:lpstr>
      <vt:lpstr>THLD_GLD</vt:lpstr>
      <vt:lpstr>THLD_GTGT</vt:lpstr>
      <vt:lpstr>THLD_hsCPDP</vt:lpstr>
      <vt:lpstr>THLD_hsGTGT</vt:lpstr>
      <vt:lpstr>THLD_hsTL</vt:lpstr>
      <vt:lpstr>THLD_M</vt:lpstr>
      <vt:lpstr>THLD_NC</vt:lpstr>
      <vt:lpstr>THLD_T</vt:lpstr>
      <vt:lpstr>THLD_TL</vt:lpstr>
      <vt:lpstr>THLD_VL</vt:lpstr>
      <vt:lpstr>THTB_CL</vt:lpstr>
      <vt:lpstr>THTB_CLK</vt:lpstr>
      <vt:lpstr>THTB_DV</vt:lpstr>
      <vt:lpstr>THTB_GG</vt:lpstr>
      <vt:lpstr>THTB_GHT</vt:lpstr>
      <vt:lpstr>THTB_GVTTT</vt:lpstr>
      <vt:lpstr>THTB_KL</vt:lpstr>
      <vt:lpstr>THTB_KLK</vt:lpstr>
      <vt:lpstr>THTB_MSVT</vt:lpstr>
      <vt:lpstr>THTB_NG</vt:lpstr>
      <vt:lpstr>THTB_STT</vt:lpstr>
      <vt:lpstr>THTB_TEN</vt:lpstr>
      <vt:lpstr>THTB_TT</vt:lpstr>
      <vt:lpstr>THTB_TTK</vt:lpstr>
      <vt:lpstr>THXD_CL</vt:lpstr>
      <vt:lpstr>THXD_CLK</vt:lpstr>
      <vt:lpstr>THXD_DV</vt:lpstr>
      <vt:lpstr>THXD_GG</vt:lpstr>
      <vt:lpstr>THXD_GHT</vt:lpstr>
      <vt:lpstr>THXD_GVTTT</vt:lpstr>
      <vt:lpstr>THXD_KL</vt:lpstr>
      <vt:lpstr>THXD_KLK</vt:lpstr>
      <vt:lpstr>THXD_MSVT</vt:lpstr>
      <vt:lpstr>THXD_NG</vt:lpstr>
      <vt:lpstr>THXD_STT</vt:lpstr>
      <vt:lpstr>THXD_TEN</vt:lpstr>
      <vt:lpstr>THXD_TT</vt:lpstr>
      <vt:lpstr>THXD_TTK</vt:lpstr>
      <vt:lpstr>TK_CHD</vt:lpstr>
      <vt:lpstr>TK_CHD1</vt:lpstr>
      <vt:lpstr>TK_DK</vt:lpstr>
      <vt:lpstr>TK_HD</vt:lpstr>
      <vt:lpstr>TK_SCK</vt:lpstr>
      <vt:lpstr>TK_SH</vt:lpstr>
      <vt:lpstr>TK_STH</vt:lpstr>
      <vt:lpstr>TK_STH1</vt:lpstr>
      <vt:lpstr>TK_T</vt:lpstr>
      <vt:lpstr>TK_TEN</vt:lpstr>
      <vt:lpstr>TL_BCNCKT</vt:lpstr>
      <vt:lpstr>TL_BCNCTKT1</vt:lpstr>
      <vt:lpstr>TL_CPGSKS</vt:lpstr>
      <vt:lpstr>TL_GSTB</vt:lpstr>
      <vt:lpstr>TL_GSXD</vt:lpstr>
      <vt:lpstr>TL_HSMTTB</vt:lpstr>
      <vt:lpstr>TL_HSMTTV1</vt:lpstr>
      <vt:lpstr>TL_HSMTXD</vt:lpstr>
      <vt:lpstr>TL_Ktoan</vt:lpstr>
      <vt:lpstr>TL_LDA_BCKTKT</vt:lpstr>
      <vt:lpstr>TL_PTDDTXD</vt:lpstr>
      <vt:lpstr>TL_PTDTKKT</vt:lpstr>
      <vt:lpstr>TL_QDV</vt:lpstr>
      <vt:lpstr>TL_TDDA</vt:lpstr>
      <vt:lpstr>TL_TKBVTC</vt:lpstr>
      <vt:lpstr>TL_TKKT</vt:lpstr>
      <vt:lpstr>TL_TTHQKT</vt:lpstr>
      <vt:lpstr>TL_TTraDT</vt:lpstr>
      <vt:lpstr>TL_TTraQTV</vt:lpstr>
      <vt:lpstr>TL_TTraTK</vt:lpstr>
      <vt:lpstr>TMDT</vt:lpstr>
      <vt:lpstr>TMDT_CPTB</vt:lpstr>
      <vt:lpstr>TMDT_CPXD</vt:lpstr>
      <vt:lpstr>'TMDT-SVDT'!TMDT_SVDT_CT</vt:lpstr>
      <vt:lpstr>'TMDT-SVDT'!TMDT_SVDT_DV</vt:lpstr>
      <vt:lpstr>'TMDT-SVDT'!TMDT_SVDT_GC</vt:lpstr>
      <vt:lpstr>'TMDT-SVDT'!TMDT_SVDT_ID</vt:lpstr>
      <vt:lpstr>'TMDT-SVDT'!TMDT_SVDT_KH</vt:lpstr>
      <vt:lpstr>'TMDT-SVDT'!TMDT_SVDT_KL</vt:lpstr>
      <vt:lpstr>'TMDT-SVDT'!TMDT_SVDT_MH</vt:lpstr>
      <vt:lpstr>'TMDT-SVDT'!TMDT_SVDT_ND</vt:lpstr>
      <vt:lpstr>'TMDT-SVDT'!TMDT_SVDT_STHUE</vt:lpstr>
      <vt:lpstr>'TMDT-SVDT'!TMDT_SVDT_STT</vt:lpstr>
      <vt:lpstr>'TMDT-SVDT'!TMDT_SVDT_SVDT</vt:lpstr>
      <vt:lpstr>'TMDT-SVDT'!TMDT_SVDT_TGTTT</vt:lpstr>
      <vt:lpstr>'TMDT-SVDT'!TMDT_SVDT_TRCT</vt:lpstr>
      <vt:lpstr>TMDTSLT</vt:lpstr>
      <vt:lpstr>TMDTTT</vt:lpstr>
      <vt:lpstr>TPCP_hsCPC</vt:lpstr>
      <vt:lpstr>TPLD_hsCPC</vt:lpstr>
      <vt:lpstr>Config!TS_BT</vt:lpstr>
      <vt:lpstr>TS_CP</vt:lpstr>
      <vt:lpstr>Config!TS_CTNG</vt:lpstr>
      <vt:lpstr>Config!TS_DG</vt:lpstr>
      <vt:lpstr>Config!TS_DGDT</vt:lpstr>
      <vt:lpstr>Config!TS_DGGVT</vt:lpstr>
      <vt:lpstr>Config!TS_DGTH</vt:lpstr>
      <vt:lpstr>Config!TS_DMNC</vt:lpstr>
      <vt:lpstr>Config!TS_DPLV</vt:lpstr>
      <vt:lpstr>Config!TS_DTB</vt:lpstr>
      <vt:lpstr>Config!TS_EXCEL</vt:lpstr>
      <vt:lpstr>Config!TS_GVTM</vt:lpstr>
      <vt:lpstr>Config!TS_GVTNC</vt:lpstr>
      <vt:lpstr>Config!TS_GVTPLV</vt:lpstr>
      <vt:lpstr>Config!TS_GVTVL</vt:lpstr>
      <vt:lpstr>TS_HS_VL1</vt:lpstr>
      <vt:lpstr>Config!TS_HSDG</vt:lpstr>
      <vt:lpstr>Config!TS_KS</vt:lpstr>
      <vt:lpstr>Config!TS_KXDL</vt:lpstr>
      <vt:lpstr>Config!TS_LDT</vt:lpstr>
      <vt:lpstr>Config!TS_NNC</vt:lpstr>
      <vt:lpstr>Config!TS_PTV</vt:lpstr>
      <vt:lpstr>Config!TS_TGCM</vt:lpstr>
      <vt:lpstr>Config!TS_TH</vt:lpstr>
      <vt:lpstr>Config!TS_THM</vt:lpstr>
      <vt:lpstr>Config!TS_THNC</vt:lpstr>
      <vt:lpstr>Config!TS_THPLV</vt:lpstr>
      <vt:lpstr>Config!TS_THVL</vt:lpstr>
      <vt:lpstr>Config!TS_TL</vt:lpstr>
      <vt:lpstr>Config!TS_TRC</vt:lpstr>
      <vt:lpstr>Config!TS_TT</vt:lpstr>
      <vt:lpstr>Config!TS_TVLHT</vt:lpstr>
      <vt:lpstr>Config!TS_VUA</vt:lpstr>
      <vt:lpstr>TT_TTBCNCTKT1</vt:lpstr>
      <vt:lpstr>TVDT</vt:lpstr>
      <vt:lpstr>VLTB_CL</vt:lpstr>
      <vt:lpstr>VLTB_CLYHT</vt:lpstr>
      <vt:lpstr>VLTB_CPBX</vt:lpstr>
      <vt:lpstr>VLTB_CPBXHT</vt:lpstr>
      <vt:lpstr>VLTB_CPHH</vt:lpstr>
      <vt:lpstr>VLTB_CPHHBQ</vt:lpstr>
      <vt:lpstr>VLTB_CPVC</vt:lpstr>
      <vt:lpstr>VLTB_CPVCNB</vt:lpstr>
      <vt:lpstr>VLTB_DMBX</vt:lpstr>
      <vt:lpstr>VLTB_DMBXHT</vt:lpstr>
      <vt:lpstr>VLTB_DMHH</vt:lpstr>
      <vt:lpstr>VLTB_DMHHBQ</vt:lpstr>
      <vt:lpstr>VLTB_DMVC10T</vt:lpstr>
      <vt:lpstr>VLTB_DMVCB10</vt:lpstr>
      <vt:lpstr>VLTB_DV</vt:lpstr>
      <vt:lpstr>VLTB_GC</vt:lpstr>
      <vt:lpstr>VLTB_GG</vt:lpstr>
      <vt:lpstr>VLTB_GHT</vt:lpstr>
      <vt:lpstr>VLTB_GVLCCT</vt:lpstr>
      <vt:lpstr>VLTB_HSBH</vt:lpstr>
      <vt:lpstr>VLTB_HSDB</vt:lpstr>
      <vt:lpstr>VLTB_LD</vt:lpstr>
      <vt:lpstr>VLTB_LVL</vt:lpstr>
      <vt:lpstr>VLTB_MH</vt:lpstr>
      <vt:lpstr>VLTB_NM</vt:lpstr>
      <vt:lpstr>VLTB_PTVC</vt:lpstr>
      <vt:lpstr>VLTB_STT</vt:lpstr>
      <vt:lpstr>VLTB_TLDV</vt:lpstr>
      <vt:lpstr>VLXD_DV</vt:lpstr>
      <vt:lpstr>VLXD_GG</vt:lpstr>
      <vt:lpstr>VLXD_GHT</vt:lpstr>
      <vt:lpstr>VLXD_LVL</vt:lpstr>
      <vt:lpstr>VLXD_MH</vt:lpstr>
      <vt:lpstr>VLXD_NC</vt:lpstr>
      <vt:lpstr>VLXD_NM</vt:lpstr>
      <vt:lpstr>VLXD_STT</vt:lpstr>
      <vt:lpstr>xang</vt:lpstr>
    </vt:vector>
  </TitlesOfParts>
  <Manager>GXD JSC</Manager>
  <Company>GXD JSC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Template Du toan GXD</dc:title>
  <dc:subject>Du toan GXD 10</dc:subject>
  <dc:creator>Tuấn Anh</dc:creator>
  <cp:keywords>du toan; du thau; dinh muc; don gia; dinh gia xay dung;</cp:keywords>
  <cp:lastModifiedBy>GIANG</cp:lastModifiedBy>
  <cp:lastPrinted>2024-06-29T09:42:55Z</cp:lastPrinted>
  <dcterms:created xsi:type="dcterms:W3CDTF">2011-05-31T17:44:04Z</dcterms:created>
  <dcterms:modified xsi:type="dcterms:W3CDTF">2024-10-25T01:32:25Z</dcterms:modified>
  <cp:category>San pham tri tue cua GXD JSC</cp:category>
</cp:coreProperties>
</file>